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steirro\Desktop\"/>
    </mc:Choice>
  </mc:AlternateContent>
  <bookViews>
    <workbookView xWindow="0" yWindow="0" windowWidth="13800" windowHeight="4116" tabRatio="817"/>
  </bookViews>
  <sheets>
    <sheet name="DCF" sheetId="33" r:id="rId1"/>
    <sheet name="Income Statement" sheetId="30" r:id="rId2"/>
    <sheet name="Balance Sheet" sheetId="32" r:id="rId3"/>
    <sheet name="Cash Flow" sheetId="31" r:id="rId4"/>
    <sheet name="Goodwill" sheetId="35" state="hidden" r:id="rId5"/>
    <sheet name="Attendance Financials" sheetId="10" r:id="rId6"/>
    <sheet name="Fan Cost Index Data" sheetId="3" r:id="rId7"/>
    <sheet name="Attendance Forecast" sheetId="8" r:id="rId8"/>
    <sheet name="Attendance" sheetId="7" r:id="rId9"/>
    <sheet name="Playoff" sheetId="13" r:id="rId10"/>
    <sheet name="Sponsorships" sheetId="36" r:id="rId11"/>
    <sheet name="TV Deal" sheetId="39" r:id="rId12"/>
    <sheet name="Jersey Sales" sheetId="1" r:id="rId13"/>
    <sheet name="Contract" sheetId="5" r:id="rId14"/>
    <sheet name="Revenue Sharing Pool" sheetId="37" r:id="rId15"/>
    <sheet name="WACC" sheetId="14" r:id="rId16"/>
    <sheet name="Beta" sheetId="15" r:id="rId17"/>
    <sheet name="Market Return" sheetId="16" r:id="rId18"/>
    <sheet name="Return Compilation" sheetId="17" state="hidden" r:id="rId19"/>
    <sheet name="Value Compilation" sheetId="18" state="hidden" r:id="rId20"/>
    <sheet name="Comparables" sheetId="38" r:id="rId21"/>
    <sheet name="2016 Value" sheetId="19" r:id="rId22"/>
    <sheet name="2015 Value" sheetId="20" r:id="rId23"/>
    <sheet name="2014 Value" sheetId="21" r:id="rId24"/>
    <sheet name="2013 Value" sheetId="22" r:id="rId25"/>
    <sheet name="2012 Value" sheetId="23" r:id="rId26"/>
    <sheet name="2011 Value" sheetId="24" r:id="rId27"/>
    <sheet name="2010 Value" sheetId="25" r:id="rId28"/>
    <sheet name="2009 Value" sheetId="26" r:id="rId29"/>
    <sheet name="2008 Value" sheetId="27" r:id="rId30"/>
    <sheet name="2007 Value" sheetId="28" r:id="rId31"/>
    <sheet name="2006 Value" sheetId="29" r:id="rId32"/>
    <sheet name="2002 Value" sheetId="44" r:id="rId33"/>
    <sheet name="2001 Value" sheetId="43" r:id="rId34"/>
    <sheet name="2000 Value" sheetId="42" r:id="rId35"/>
    <sheet name="1999 Value" sheetId="41" r:id="rId36"/>
  </sheets>
  <definedNames>
    <definedName name="_xlnm._FilterDatabase" localSheetId="7" hidden="1">'Attendance Forecast'!$B$25:$B$26</definedName>
    <definedName name="_xlnm._FilterDatabase" localSheetId="13" hidden="1">Contract!$G$11:$I$311</definedName>
    <definedName name="solver_adj" localSheetId="9" hidden="1">Playoff!$I$35</definedName>
    <definedName name="solver_cvg" localSheetId="9" hidden="1">0.0001</definedName>
    <definedName name="solver_drv" localSheetId="9" hidden="1">1</definedName>
    <definedName name="solver_eng" localSheetId="9" hidden="1">1</definedName>
    <definedName name="solver_est" localSheetId="9" hidden="1">1</definedName>
    <definedName name="solver_itr" localSheetId="9" hidden="1">2147483647</definedName>
    <definedName name="solver_lhs1" localSheetId="9" hidden="1">Playoff!$J$34</definedName>
    <definedName name="solver_mip" localSheetId="9" hidden="1">2147483647</definedName>
    <definedName name="solver_mni" localSheetId="9" hidden="1">30</definedName>
    <definedName name="solver_mrt" localSheetId="9" hidden="1">0.075</definedName>
    <definedName name="solver_msl" localSheetId="9" hidden="1">2</definedName>
    <definedName name="solver_neg" localSheetId="9" hidden="1">1</definedName>
    <definedName name="solver_nod" localSheetId="9" hidden="1">2147483647</definedName>
    <definedName name="solver_num" localSheetId="9" hidden="1">1</definedName>
    <definedName name="solver_nwt" localSheetId="9" hidden="1">1</definedName>
    <definedName name="solver_opt" localSheetId="9" hidden="1">Playoff!$I$35</definedName>
    <definedName name="solver_pre" localSheetId="9" hidden="1">0.000001</definedName>
    <definedName name="solver_rbv" localSheetId="9" hidden="1">1</definedName>
    <definedName name="solver_rel1" localSheetId="9" hidden="1">2</definedName>
    <definedName name="solver_rhs1" localSheetId="9" hidden="1">Playoff!$J$35</definedName>
    <definedName name="solver_rlx" localSheetId="9" hidden="1">2</definedName>
    <definedName name="solver_rsd" localSheetId="9" hidden="1">0</definedName>
    <definedName name="solver_scl" localSheetId="9" hidden="1">1</definedName>
    <definedName name="solver_sho" localSheetId="9" hidden="1">2</definedName>
    <definedName name="solver_ssz" localSheetId="9" hidden="1">100</definedName>
    <definedName name="solver_tim" localSheetId="9" hidden="1">2147483647</definedName>
    <definedName name="solver_tol" localSheetId="9" hidden="1">0.01</definedName>
    <definedName name="solver_typ" localSheetId="9" hidden="1">1</definedName>
    <definedName name="solver_val" localSheetId="9" hidden="1">0</definedName>
    <definedName name="solver_ver" localSheetId="9" hidden="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30" l="1"/>
  <c r="G20" i="30"/>
  <c r="C6" i="36"/>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C7" i="36"/>
  <c r="C9" i="36"/>
  <c r="C5" i="36"/>
  <c r="C10" i="36"/>
  <c r="B5" i="35"/>
  <c r="B7" i="35"/>
  <c r="C5" i="35"/>
  <c r="C7" i="35"/>
  <c r="E5" i="35"/>
  <c r="E7" i="35"/>
  <c r="F5" i="35"/>
  <c r="F7" i="35"/>
  <c r="G5" i="35"/>
  <c r="G7" i="35"/>
  <c r="H5" i="35"/>
  <c r="H7" i="35"/>
  <c r="I5" i="35"/>
  <c r="I7" i="35"/>
  <c r="J5" i="35"/>
  <c r="J7" i="35"/>
  <c r="K5" i="35"/>
  <c r="K7" i="35"/>
  <c r="C11" i="36"/>
  <c r="C12" i="36"/>
  <c r="C14" i="36"/>
  <c r="H18" i="30"/>
  <c r="C7" i="1"/>
  <c r="Q5" i="8"/>
  <c r="Q6" i="8"/>
  <c r="T8" i="8"/>
  <c r="T6" i="8"/>
  <c r="T5" i="8"/>
  <c r="T4" i="8"/>
  <c r="C5" i="1"/>
  <c r="C8" i="1"/>
  <c r="C6" i="39"/>
  <c r="C7" i="39"/>
  <c r="C9" i="39"/>
  <c r="C5" i="39"/>
  <c r="C10" i="39"/>
  <c r="C11" i="39"/>
  <c r="C12" i="39"/>
  <c r="D5" i="8"/>
  <c r="D6" i="8"/>
  <c r="C5" i="8"/>
  <c r="C6" i="8"/>
  <c r="D7" i="8"/>
  <c r="E5" i="8"/>
  <c r="E6" i="8"/>
  <c r="E7" i="8"/>
  <c r="F5" i="8"/>
  <c r="F6" i="8"/>
  <c r="F7" i="8"/>
  <c r="G5" i="8"/>
  <c r="G6" i="8"/>
  <c r="G7" i="8"/>
  <c r="H5" i="8"/>
  <c r="H6" i="8"/>
  <c r="H7" i="8"/>
  <c r="I5" i="8"/>
  <c r="I6" i="8"/>
  <c r="I7" i="8"/>
  <c r="J5" i="8"/>
  <c r="J6" i="8"/>
  <c r="J7" i="8"/>
  <c r="K5" i="8"/>
  <c r="K6" i="8"/>
  <c r="K7" i="8"/>
  <c r="L5" i="8"/>
  <c r="L6" i="8"/>
  <c r="L7" i="8"/>
  <c r="M5" i="8"/>
  <c r="M6" i="8"/>
  <c r="M7" i="8"/>
  <c r="N5" i="8"/>
  <c r="N6" i="8"/>
  <c r="N7" i="8"/>
  <c r="O5" i="8"/>
  <c r="O6" i="8"/>
  <c r="O7" i="8"/>
  <c r="P5" i="8"/>
  <c r="P6" i="8"/>
  <c r="P7" i="8"/>
  <c r="Q7" i="8"/>
  <c r="C19" i="8"/>
  <c r="R8" i="8"/>
  <c r="R6" i="8"/>
  <c r="V6" i="8"/>
  <c r="C14" i="39"/>
  <c r="H12" i="30"/>
  <c r="H21" i="10"/>
  <c r="C5" i="10"/>
  <c r="C6" i="10"/>
  <c r="V5" i="8"/>
  <c r="V4" i="8"/>
  <c r="C4" i="10"/>
  <c r="C7" i="10"/>
  <c r="H8" i="30"/>
  <c r="L18" i="13"/>
  <c r="I23" i="13"/>
  <c r="K23" i="13"/>
  <c r="J24" i="13"/>
  <c r="L24" i="13"/>
  <c r="D25" i="13"/>
  <c r="E25" i="13"/>
  <c r="D24" i="13"/>
  <c r="I36" i="13"/>
  <c r="E24" i="13"/>
  <c r="D23" i="13"/>
  <c r="E23" i="13"/>
  <c r="I21" i="10"/>
  <c r="J25" i="13"/>
  <c r="L25" i="13"/>
  <c r="D22" i="13"/>
  <c r="L6" i="13"/>
  <c r="K6" i="13"/>
  <c r="I34" i="13"/>
  <c r="E22" i="13"/>
  <c r="L7" i="13"/>
  <c r="K7" i="13"/>
  <c r="E21" i="13"/>
  <c r="D26" i="13"/>
  <c r="C13" i="36"/>
  <c r="C15" i="36"/>
  <c r="G18" i="30"/>
  <c r="D7" i="1"/>
  <c r="U8" i="8"/>
  <c r="U6" i="8"/>
  <c r="U5" i="8"/>
  <c r="U4" i="8"/>
  <c r="D5" i="1"/>
  <c r="D8" i="1"/>
  <c r="C13" i="39"/>
  <c r="S8" i="8"/>
  <c r="S6" i="8"/>
  <c r="W6" i="8"/>
  <c r="C15" i="39"/>
  <c r="G12" i="30"/>
  <c r="D5" i="10"/>
  <c r="D6" i="10"/>
  <c r="W5" i="8"/>
  <c r="W4" i="8"/>
  <c r="D4" i="10"/>
  <c r="D7" i="10"/>
  <c r="G8" i="30"/>
  <c r="C25" i="13"/>
  <c r="C24" i="13"/>
  <c r="C23" i="13"/>
  <c r="C22" i="13"/>
  <c r="C26" i="13"/>
  <c r="G4" i="5"/>
  <c r="G7" i="5"/>
  <c r="D5" i="5"/>
  <c r="C5" i="5"/>
  <c r="C6" i="5"/>
  <c r="G23" i="30"/>
  <c r="D6" i="5"/>
  <c r="H23" i="30"/>
  <c r="E32" i="13"/>
  <c r="J29" i="13"/>
  <c r="K29" i="13"/>
  <c r="M29" i="13"/>
  <c r="N29" i="13"/>
  <c r="J30" i="13"/>
  <c r="K30" i="13"/>
  <c r="M30" i="13"/>
  <c r="N30" i="13"/>
  <c r="D34" i="13"/>
  <c r="E34" i="13"/>
  <c r="D33" i="13"/>
  <c r="E33" i="13"/>
  <c r="D32" i="13"/>
  <c r="D31" i="13"/>
  <c r="E31" i="13"/>
  <c r="D35" i="13"/>
  <c r="C34" i="13"/>
  <c r="C33" i="13"/>
  <c r="C32" i="13"/>
  <c r="C31" i="13"/>
  <c r="C35" i="13"/>
  <c r="I33" i="13"/>
  <c r="D16" i="13"/>
  <c r="D15" i="13"/>
  <c r="D14" i="13"/>
  <c r="D13" i="13"/>
  <c r="D12" i="13"/>
  <c r="D11" i="13"/>
  <c r="D10" i="13"/>
  <c r="D9" i="13"/>
  <c r="D8" i="13"/>
  <c r="D7" i="13"/>
  <c r="I8" i="13"/>
  <c r="J23" i="13"/>
  <c r="D4" i="16"/>
  <c r="D5" i="16"/>
  <c r="D6" i="16"/>
  <c r="D7" i="16"/>
  <c r="D8" i="16"/>
  <c r="D9" i="16"/>
  <c r="D10" i="16"/>
  <c r="D11" i="16"/>
  <c r="D12" i="16"/>
  <c r="D13" i="16"/>
  <c r="C16" i="16"/>
  <c r="C4" i="14"/>
  <c r="C5" i="14"/>
  <c r="I5" i="1"/>
  <c r="C22" i="8"/>
  <c r="C18" i="8"/>
  <c r="C8" i="39"/>
  <c r="C8" i="36"/>
  <c r="J4" i="23"/>
  <c r="J5" i="23"/>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D18" i="38"/>
  <c r="E18" i="38"/>
  <c r="F18" i="38"/>
  <c r="D19" i="38"/>
  <c r="E19" i="38"/>
  <c r="F19" i="38"/>
  <c r="D20" i="38"/>
  <c r="E20" i="38"/>
  <c r="F20" i="38"/>
  <c r="D21" i="38"/>
  <c r="E21" i="38"/>
  <c r="F21" i="38"/>
  <c r="D22" i="38"/>
  <c r="E22" i="38"/>
  <c r="F22" i="38"/>
  <c r="D23" i="38"/>
  <c r="E23" i="38"/>
  <c r="F23" i="38"/>
  <c r="D24" i="38"/>
  <c r="E24" i="38"/>
  <c r="F24" i="38"/>
  <c r="D25" i="38"/>
  <c r="E25" i="38"/>
  <c r="F25" i="38"/>
  <c r="D26" i="38"/>
  <c r="E26" i="38"/>
  <c r="F26" i="38"/>
  <c r="D27" i="38"/>
  <c r="E27" i="38"/>
  <c r="F27" i="38"/>
  <c r="D28" i="38"/>
  <c r="E28" i="38"/>
  <c r="F28" i="38"/>
  <c r="D29" i="38"/>
  <c r="E29" i="38"/>
  <c r="F29" i="38"/>
  <c r="C29" i="38"/>
  <c r="C28" i="38"/>
  <c r="C27" i="38"/>
  <c r="C26" i="38"/>
  <c r="C25" i="38"/>
  <c r="C24" i="38"/>
  <c r="C23" i="38"/>
  <c r="C22" i="38"/>
  <c r="C21" i="38"/>
  <c r="C20" i="38"/>
  <c r="C19" i="38"/>
  <c r="C18" i="38"/>
  <c r="D9" i="1"/>
  <c r="D11" i="1"/>
  <c r="C9" i="1"/>
  <c r="C11" i="1"/>
  <c r="C8" i="14"/>
  <c r="C25" i="33"/>
  <c r="I6" i="19"/>
  <c r="J6" i="19"/>
  <c r="D22" i="33"/>
  <c r="C24" i="33"/>
  <c r="B24" i="33"/>
  <c r="C28" i="33"/>
  <c r="C7" i="37"/>
  <c r="C5" i="37"/>
  <c r="C6" i="37"/>
  <c r="C8" i="37"/>
  <c r="A22" i="35"/>
  <c r="D5" i="35"/>
  <c r="F16" i="32"/>
  <c r="I11" i="31"/>
  <c r="H11" i="31"/>
  <c r="G16" i="32"/>
  <c r="L17" i="13"/>
  <c r="L16" i="13"/>
  <c r="D5" i="13"/>
  <c r="D6" i="13"/>
  <c r="I4" i="19"/>
  <c r="J4" i="19"/>
  <c r="J33" i="29"/>
  <c r="B17" i="33"/>
  <c r="D17" i="33"/>
  <c r="C17" i="33"/>
  <c r="B19" i="33"/>
  <c r="B25" i="33"/>
  <c r="B28" i="33"/>
  <c r="B29" i="33"/>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J4" i="29"/>
  <c r="F36" i="28"/>
  <c r="I35" i="28"/>
  <c r="I34" i="28"/>
  <c r="I33" i="28"/>
  <c r="I32" i="28"/>
  <c r="I31" i="28"/>
  <c r="I30" i="28"/>
  <c r="I29" i="28"/>
  <c r="I28" i="28"/>
  <c r="I27" i="28"/>
  <c r="I26" i="28"/>
  <c r="I25" i="28"/>
  <c r="I24" i="28"/>
  <c r="I23" i="28"/>
  <c r="I22" i="28"/>
  <c r="I21" i="28"/>
  <c r="I20" i="28"/>
  <c r="I19" i="28"/>
  <c r="I18" i="28"/>
  <c r="I17" i="28"/>
  <c r="I16" i="28"/>
  <c r="I15" i="28"/>
  <c r="I14" i="28"/>
  <c r="I13" i="28"/>
  <c r="I12" i="28"/>
  <c r="I11" i="28"/>
  <c r="I10" i="28"/>
  <c r="I9" i="28"/>
  <c r="I8" i="28"/>
  <c r="I7" i="28"/>
  <c r="I6" i="28"/>
  <c r="J33" i="27"/>
  <c r="J32" i="27"/>
  <c r="J31" i="27"/>
  <c r="J30" i="27"/>
  <c r="J29" i="27"/>
  <c r="J28" i="27"/>
  <c r="J27" i="27"/>
  <c r="J26" i="27"/>
  <c r="J25" i="27"/>
  <c r="J24" i="27"/>
  <c r="J23" i="27"/>
  <c r="J22" i="27"/>
  <c r="J21" i="27"/>
  <c r="J20" i="27"/>
  <c r="J19" i="27"/>
  <c r="J18" i="27"/>
  <c r="J17" i="27"/>
  <c r="J16" i="27"/>
  <c r="J15" i="27"/>
  <c r="J14" i="27"/>
  <c r="J13" i="27"/>
  <c r="J12" i="27"/>
  <c r="J11" i="27"/>
  <c r="J10" i="27"/>
  <c r="J9" i="27"/>
  <c r="J8" i="27"/>
  <c r="J7" i="27"/>
  <c r="J6" i="27"/>
  <c r="J5" i="27"/>
  <c r="J4" i="27"/>
  <c r="J33" i="26"/>
  <c r="J32" i="26"/>
  <c r="J31" i="26"/>
  <c r="J30" i="26"/>
  <c r="J29" i="26"/>
  <c r="J28" i="26"/>
  <c r="J27" i="26"/>
  <c r="J26" i="26"/>
  <c r="J25" i="26"/>
  <c r="J24" i="26"/>
  <c r="J23" i="26"/>
  <c r="J22" i="26"/>
  <c r="J21" i="26"/>
  <c r="J20" i="26"/>
  <c r="J19" i="26"/>
  <c r="J18" i="26"/>
  <c r="J17" i="26"/>
  <c r="J16" i="26"/>
  <c r="J15" i="26"/>
  <c r="J14" i="26"/>
  <c r="J13" i="26"/>
  <c r="J12" i="26"/>
  <c r="J11" i="26"/>
  <c r="J10" i="26"/>
  <c r="J9" i="26"/>
  <c r="J8" i="26"/>
  <c r="J7" i="26"/>
  <c r="J6" i="26"/>
  <c r="J5" i="26"/>
  <c r="J4" i="26"/>
  <c r="J34" i="25"/>
  <c r="H34" i="25"/>
  <c r="J33" i="25"/>
  <c r="H33" i="25"/>
  <c r="J32" i="25"/>
  <c r="H32" i="25"/>
  <c r="J31" i="25"/>
  <c r="H31" i="25"/>
  <c r="J30" i="25"/>
  <c r="H30" i="25"/>
  <c r="J29" i="25"/>
  <c r="H29" i="25"/>
  <c r="J28" i="25"/>
  <c r="H28" i="25"/>
  <c r="J27" i="25"/>
  <c r="H27" i="25"/>
  <c r="J26" i="25"/>
  <c r="H26" i="25"/>
  <c r="J25" i="25"/>
  <c r="H25" i="25"/>
  <c r="J24" i="25"/>
  <c r="H24" i="25"/>
  <c r="J23" i="25"/>
  <c r="H23" i="25"/>
  <c r="J22" i="25"/>
  <c r="H22" i="25"/>
  <c r="J21" i="25"/>
  <c r="H21" i="25"/>
  <c r="J20" i="25"/>
  <c r="H20" i="25"/>
  <c r="J19" i="25"/>
  <c r="H19" i="25"/>
  <c r="J18" i="25"/>
  <c r="H18" i="25"/>
  <c r="J17" i="25"/>
  <c r="H17" i="25"/>
  <c r="J16" i="25"/>
  <c r="H16" i="25"/>
  <c r="J15" i="25"/>
  <c r="H15" i="25"/>
  <c r="J14" i="25"/>
  <c r="H14" i="25"/>
  <c r="J13" i="25"/>
  <c r="H13" i="25"/>
  <c r="J12" i="25"/>
  <c r="H12" i="25"/>
  <c r="J11" i="25"/>
  <c r="H11" i="25"/>
  <c r="J10" i="25"/>
  <c r="H10" i="25"/>
  <c r="J9" i="25"/>
  <c r="H9" i="25"/>
  <c r="J8" i="25"/>
  <c r="H8" i="25"/>
  <c r="J7" i="25"/>
  <c r="H7" i="25"/>
  <c r="J6" i="25"/>
  <c r="H6" i="25"/>
  <c r="J5" i="25"/>
  <c r="H5" i="25"/>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H4" i="24"/>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I5" i="20"/>
  <c r="I4" i="20"/>
  <c r="I33" i="19"/>
  <c r="J33" i="19"/>
  <c r="I32" i="19"/>
  <c r="J32" i="19"/>
  <c r="I31" i="19"/>
  <c r="J31" i="19"/>
  <c r="I30" i="19"/>
  <c r="J30" i="19"/>
  <c r="I29" i="19"/>
  <c r="J29" i="19"/>
  <c r="I28" i="19"/>
  <c r="J28" i="19"/>
  <c r="I27" i="19"/>
  <c r="J27" i="19"/>
  <c r="I26" i="19"/>
  <c r="J26" i="19"/>
  <c r="I25" i="19"/>
  <c r="J25" i="19"/>
  <c r="I24" i="19"/>
  <c r="J24" i="19"/>
  <c r="I23" i="19"/>
  <c r="J23" i="19"/>
  <c r="I22" i="19"/>
  <c r="J22" i="19"/>
  <c r="I21" i="19"/>
  <c r="J21" i="19"/>
  <c r="I20" i="19"/>
  <c r="J20" i="19"/>
  <c r="I19" i="19"/>
  <c r="J19" i="19"/>
  <c r="I18" i="19"/>
  <c r="J18" i="19"/>
  <c r="I17" i="19"/>
  <c r="J17" i="19"/>
  <c r="I16" i="19"/>
  <c r="J16" i="19"/>
  <c r="I15" i="19"/>
  <c r="J15" i="19"/>
  <c r="I14" i="19"/>
  <c r="J14" i="19"/>
  <c r="I13" i="19"/>
  <c r="J13" i="19"/>
  <c r="I12" i="19"/>
  <c r="J12" i="19"/>
  <c r="I11" i="19"/>
  <c r="J11" i="19"/>
  <c r="I10" i="19"/>
  <c r="J10" i="19"/>
  <c r="I9" i="19"/>
  <c r="J9" i="19"/>
  <c r="I8" i="19"/>
  <c r="J8" i="19"/>
  <c r="I7" i="19"/>
  <c r="J7" i="19"/>
  <c r="I5" i="19"/>
  <c r="J5" i="19"/>
  <c r="L2" i="18"/>
  <c r="L3" i="18"/>
  <c r="L4" i="18"/>
  <c r="L5" i="18"/>
  <c r="L6" i="18"/>
  <c r="L7" i="18"/>
  <c r="L9" i="18"/>
  <c r="L10" i="18"/>
  <c r="L11" i="18"/>
  <c r="L12" i="18"/>
  <c r="L13" i="18"/>
  <c r="L14" i="18"/>
  <c r="L15" i="18"/>
  <c r="L16" i="18"/>
  <c r="L17" i="18"/>
  <c r="L18" i="18"/>
  <c r="L19" i="18"/>
  <c r="L20" i="18"/>
  <c r="L21" i="18"/>
  <c r="L22" i="18"/>
  <c r="L23" i="18"/>
  <c r="L24" i="18"/>
  <c r="L25" i="18"/>
  <c r="L26" i="18"/>
  <c r="L28" i="18"/>
  <c r="L29" i="18"/>
  <c r="L30" i="18"/>
  <c r="L32" i="18"/>
  <c r="L33" i="18"/>
  <c r="K2" i="18"/>
  <c r="K3" i="18"/>
  <c r="K4" i="18"/>
  <c r="K5" i="18"/>
  <c r="K6" i="18"/>
  <c r="K7" i="18"/>
  <c r="K9" i="18"/>
  <c r="K10" i="18"/>
  <c r="K11" i="18"/>
  <c r="K12" i="18"/>
  <c r="K13" i="18"/>
  <c r="K14" i="18"/>
  <c r="K15" i="18"/>
  <c r="K16" i="18"/>
  <c r="K17" i="18"/>
  <c r="K18" i="18"/>
  <c r="K19" i="18"/>
  <c r="K20" i="18"/>
  <c r="K21" i="18"/>
  <c r="K22" i="18"/>
  <c r="K23" i="18"/>
  <c r="K24" i="18"/>
  <c r="K25" i="18"/>
  <c r="K26" i="18"/>
  <c r="K28" i="18"/>
  <c r="K29" i="18"/>
  <c r="K30" i="18"/>
  <c r="K32" i="18"/>
  <c r="K33" i="18"/>
  <c r="J2" i="18"/>
  <c r="J3" i="18"/>
  <c r="J4" i="18"/>
  <c r="J5" i="18"/>
  <c r="J6" i="18"/>
  <c r="J7" i="18"/>
  <c r="J9" i="18"/>
  <c r="J10" i="18"/>
  <c r="J11" i="18"/>
  <c r="J12" i="18"/>
  <c r="J13" i="18"/>
  <c r="J14" i="18"/>
  <c r="J15" i="18"/>
  <c r="J16" i="18"/>
  <c r="J17" i="18"/>
  <c r="J18" i="18"/>
  <c r="J19" i="18"/>
  <c r="J20" i="18"/>
  <c r="J21" i="18"/>
  <c r="J22" i="18"/>
  <c r="J23" i="18"/>
  <c r="J24" i="18"/>
  <c r="J25" i="18"/>
  <c r="J26" i="18"/>
  <c r="J28" i="18"/>
  <c r="J29" i="18"/>
  <c r="J30" i="18"/>
  <c r="J32" i="18"/>
  <c r="J33" i="18"/>
  <c r="I2" i="18"/>
  <c r="I3" i="18"/>
  <c r="I4" i="18"/>
  <c r="I5" i="18"/>
  <c r="I6" i="18"/>
  <c r="I7" i="18"/>
  <c r="I9" i="18"/>
  <c r="I10" i="18"/>
  <c r="I11" i="18"/>
  <c r="I12" i="18"/>
  <c r="I13" i="18"/>
  <c r="I14" i="18"/>
  <c r="I15" i="18"/>
  <c r="I16" i="18"/>
  <c r="I17" i="18"/>
  <c r="I18" i="18"/>
  <c r="I19" i="18"/>
  <c r="I20" i="18"/>
  <c r="I21" i="18"/>
  <c r="I22" i="18"/>
  <c r="I23" i="18"/>
  <c r="I24" i="18"/>
  <c r="I25" i="18"/>
  <c r="I26" i="18"/>
  <c r="I28" i="18"/>
  <c r="I29" i="18"/>
  <c r="I30" i="18"/>
  <c r="I32" i="18"/>
  <c r="I33" i="18"/>
  <c r="H2" i="18"/>
  <c r="H3" i="18"/>
  <c r="H4" i="18"/>
  <c r="H33" i="18"/>
  <c r="G2" i="18"/>
  <c r="G3" i="18"/>
  <c r="G4" i="18"/>
  <c r="G33" i="18"/>
  <c r="F2" i="18"/>
  <c r="F3" i="18"/>
  <c r="F4" i="18"/>
  <c r="F5" i="18"/>
  <c r="F6" i="18"/>
  <c r="F7" i="18"/>
  <c r="F9" i="18"/>
  <c r="F10" i="18"/>
  <c r="F11" i="18"/>
  <c r="F12" i="18"/>
  <c r="F13" i="18"/>
  <c r="F14" i="18"/>
  <c r="F15" i="18"/>
  <c r="F16" i="18"/>
  <c r="F17" i="18"/>
  <c r="F18" i="18"/>
  <c r="F19" i="18"/>
  <c r="F20" i="18"/>
  <c r="F21" i="18"/>
  <c r="F22" i="18"/>
  <c r="F23" i="18"/>
  <c r="F24" i="18"/>
  <c r="F25" i="18"/>
  <c r="F26" i="18"/>
  <c r="F28" i="18"/>
  <c r="F29" i="18"/>
  <c r="F30" i="18"/>
  <c r="F32" i="18"/>
  <c r="F33" i="18"/>
  <c r="E2" i="18"/>
  <c r="E3" i="18"/>
  <c r="E4" i="18"/>
  <c r="E5" i="18"/>
  <c r="E6" i="18"/>
  <c r="E7" i="18"/>
  <c r="E8" i="18"/>
  <c r="E9" i="18"/>
  <c r="E10" i="18"/>
  <c r="E11" i="18"/>
  <c r="E12" i="18"/>
  <c r="E13" i="18"/>
  <c r="E14" i="18"/>
  <c r="E15" i="18"/>
  <c r="E16" i="18"/>
  <c r="E17" i="18"/>
  <c r="E18" i="18"/>
  <c r="E19" i="18"/>
  <c r="E20" i="18"/>
  <c r="E21" i="18"/>
  <c r="E22" i="18"/>
  <c r="E23" i="18"/>
  <c r="E24" i="18"/>
  <c r="E25" i="18"/>
  <c r="E26" i="18"/>
  <c r="E28" i="18"/>
  <c r="E29" i="18"/>
  <c r="E30" i="18"/>
  <c r="E32" i="18"/>
  <c r="E33" i="18"/>
  <c r="D2" i="18"/>
  <c r="D3" i="18"/>
  <c r="D4" i="18"/>
  <c r="D5" i="18"/>
  <c r="D6" i="18"/>
  <c r="D7" i="18"/>
  <c r="D8" i="18"/>
  <c r="D9" i="18"/>
  <c r="D10" i="18"/>
  <c r="D11" i="18"/>
  <c r="D12" i="18"/>
  <c r="D13" i="18"/>
  <c r="D14" i="18"/>
  <c r="D15" i="18"/>
  <c r="D16" i="18"/>
  <c r="D17" i="18"/>
  <c r="D18" i="18"/>
  <c r="D19" i="18"/>
  <c r="D20" i="18"/>
  <c r="D21" i="18"/>
  <c r="D22" i="18"/>
  <c r="D23" i="18"/>
  <c r="D24" i="18"/>
  <c r="D25" i="18"/>
  <c r="D26" i="18"/>
  <c r="D28" i="18"/>
  <c r="D29" i="18"/>
  <c r="D30" i="18"/>
  <c r="D31" i="18"/>
  <c r="D33" i="18"/>
  <c r="C2" i="18"/>
  <c r="C3" i="18"/>
  <c r="C4" i="18"/>
  <c r="C5" i="18"/>
  <c r="C6" i="18"/>
  <c r="C7" i="18"/>
  <c r="C8" i="18"/>
  <c r="C9" i="18"/>
  <c r="C10" i="18"/>
  <c r="C11" i="18"/>
  <c r="C12" i="18"/>
  <c r="C13" i="18"/>
  <c r="C14" i="18"/>
  <c r="C15" i="18"/>
  <c r="C16" i="18"/>
  <c r="C17" i="18"/>
  <c r="C18" i="18"/>
  <c r="C19" i="18"/>
  <c r="C20" i="18"/>
  <c r="C21" i="18"/>
  <c r="C22" i="18"/>
  <c r="C23" i="18"/>
  <c r="C24" i="18"/>
  <c r="C25" i="18"/>
  <c r="C26" i="18"/>
  <c r="C28" i="18"/>
  <c r="C29" i="18"/>
  <c r="C30" i="18"/>
  <c r="C31" i="18"/>
  <c r="C33" i="18"/>
  <c r="B2"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3" i="18"/>
  <c r="H32" i="18"/>
  <c r="G32" i="18"/>
  <c r="H30" i="18"/>
  <c r="G30" i="18"/>
  <c r="H29" i="18"/>
  <c r="G29" i="18"/>
  <c r="H28" i="18"/>
  <c r="G28" i="18"/>
  <c r="H26" i="18"/>
  <c r="G26" i="18"/>
  <c r="H25" i="18"/>
  <c r="G25" i="18"/>
  <c r="H24" i="18"/>
  <c r="G24" i="18"/>
  <c r="H23" i="18"/>
  <c r="G23" i="18"/>
  <c r="H22" i="18"/>
  <c r="G22" i="18"/>
  <c r="H21" i="18"/>
  <c r="G21" i="18"/>
  <c r="H20" i="18"/>
  <c r="G20" i="18"/>
  <c r="H19" i="18"/>
  <c r="G19" i="18"/>
  <c r="H18" i="18"/>
  <c r="G18" i="18"/>
  <c r="H17" i="18"/>
  <c r="G17" i="18"/>
  <c r="H16" i="18"/>
  <c r="G16" i="18"/>
  <c r="H15" i="18"/>
  <c r="G15" i="18"/>
  <c r="H14" i="18"/>
  <c r="G14" i="18"/>
  <c r="H13" i="18"/>
  <c r="G13" i="18"/>
  <c r="H12" i="18"/>
  <c r="G12" i="18"/>
  <c r="H11" i="18"/>
  <c r="G11" i="18"/>
  <c r="H10" i="18"/>
  <c r="G10" i="18"/>
  <c r="H9" i="18"/>
  <c r="G9" i="18"/>
  <c r="H7" i="18"/>
  <c r="G7" i="18"/>
  <c r="H6" i="18"/>
  <c r="G6" i="18"/>
  <c r="H5" i="18"/>
  <c r="G5" i="18"/>
  <c r="K32" i="17"/>
  <c r="J32" i="17"/>
  <c r="I32" i="17"/>
  <c r="H32" i="17"/>
  <c r="G32" i="17"/>
  <c r="F32" i="17"/>
  <c r="E32" i="17"/>
  <c r="D32" i="17"/>
  <c r="C32" i="17"/>
  <c r="B32" i="17"/>
  <c r="K31" i="17"/>
  <c r="J31" i="17"/>
  <c r="I31" i="17"/>
  <c r="H31" i="17"/>
  <c r="G31" i="17"/>
  <c r="F31" i="17"/>
  <c r="E31" i="17"/>
  <c r="D31" i="17"/>
  <c r="C31" i="17"/>
  <c r="B31" i="17"/>
  <c r="K30" i="17"/>
  <c r="J30" i="17"/>
  <c r="I30" i="17"/>
  <c r="H30" i="17"/>
  <c r="G30" i="17"/>
  <c r="F30" i="17"/>
  <c r="E30" i="17"/>
  <c r="D30" i="17"/>
  <c r="C30" i="17"/>
  <c r="B30" i="17"/>
  <c r="K29" i="17"/>
  <c r="J29" i="17"/>
  <c r="I29" i="17"/>
  <c r="H29" i="17"/>
  <c r="G29" i="17"/>
  <c r="F29" i="17"/>
  <c r="E29" i="17"/>
  <c r="D29" i="17"/>
  <c r="C29" i="17"/>
  <c r="B29" i="17"/>
  <c r="K28" i="17"/>
  <c r="J28" i="17"/>
  <c r="I28" i="17"/>
  <c r="H28" i="17"/>
  <c r="G28" i="17"/>
  <c r="F28" i="17"/>
  <c r="E28" i="17"/>
  <c r="D28" i="17"/>
  <c r="C28" i="17"/>
  <c r="B28" i="17"/>
  <c r="K27" i="17"/>
  <c r="J27" i="17"/>
  <c r="I27" i="17"/>
  <c r="H27" i="17"/>
  <c r="G27" i="17"/>
  <c r="F27" i="17"/>
  <c r="E27" i="17"/>
  <c r="D27" i="17"/>
  <c r="C27" i="17"/>
  <c r="B27" i="17"/>
  <c r="K26" i="17"/>
  <c r="J26" i="17"/>
  <c r="I26" i="17"/>
  <c r="H26" i="17"/>
  <c r="G26" i="17"/>
  <c r="F26" i="17"/>
  <c r="E26" i="17"/>
  <c r="D26" i="17"/>
  <c r="C26" i="17"/>
  <c r="B26" i="17"/>
  <c r="K25" i="17"/>
  <c r="J25" i="17"/>
  <c r="I25" i="17"/>
  <c r="H25" i="17"/>
  <c r="G25" i="17"/>
  <c r="F25" i="17"/>
  <c r="E25" i="17"/>
  <c r="D25" i="17"/>
  <c r="C25" i="17"/>
  <c r="B25" i="17"/>
  <c r="K24" i="17"/>
  <c r="J24" i="17"/>
  <c r="I24" i="17"/>
  <c r="H24" i="17"/>
  <c r="G24" i="17"/>
  <c r="F24" i="17"/>
  <c r="E24" i="17"/>
  <c r="D24" i="17"/>
  <c r="C24" i="17"/>
  <c r="B24" i="17"/>
  <c r="K23" i="17"/>
  <c r="J23" i="17"/>
  <c r="I23" i="17"/>
  <c r="H23" i="17"/>
  <c r="G23" i="17"/>
  <c r="F23" i="17"/>
  <c r="E23" i="17"/>
  <c r="D23" i="17"/>
  <c r="C23" i="17"/>
  <c r="B23" i="17"/>
  <c r="K22" i="17"/>
  <c r="J22" i="17"/>
  <c r="I22" i="17"/>
  <c r="H22" i="17"/>
  <c r="G22" i="17"/>
  <c r="F22" i="17"/>
  <c r="E22" i="17"/>
  <c r="D22" i="17"/>
  <c r="C22" i="17"/>
  <c r="B22" i="17"/>
  <c r="K21" i="17"/>
  <c r="J21" i="17"/>
  <c r="I21" i="17"/>
  <c r="H21" i="17"/>
  <c r="G21" i="17"/>
  <c r="F21" i="17"/>
  <c r="E21" i="17"/>
  <c r="D21" i="17"/>
  <c r="C21" i="17"/>
  <c r="B21" i="17"/>
  <c r="K20" i="17"/>
  <c r="J20" i="17"/>
  <c r="I20" i="17"/>
  <c r="H20" i="17"/>
  <c r="G20" i="17"/>
  <c r="F20" i="17"/>
  <c r="E20" i="17"/>
  <c r="D20" i="17"/>
  <c r="C20" i="17"/>
  <c r="B20" i="17"/>
  <c r="K19" i="17"/>
  <c r="J19" i="17"/>
  <c r="I19" i="17"/>
  <c r="H19" i="17"/>
  <c r="G19" i="17"/>
  <c r="F19" i="17"/>
  <c r="E19" i="17"/>
  <c r="D19" i="17"/>
  <c r="C19" i="17"/>
  <c r="B19" i="17"/>
  <c r="K18" i="17"/>
  <c r="J18" i="17"/>
  <c r="I18" i="17"/>
  <c r="H18" i="17"/>
  <c r="G18" i="17"/>
  <c r="F18" i="17"/>
  <c r="E18" i="17"/>
  <c r="D18" i="17"/>
  <c r="C18" i="17"/>
  <c r="B18" i="17"/>
  <c r="K17" i="17"/>
  <c r="J17" i="17"/>
  <c r="I17" i="17"/>
  <c r="H17" i="17"/>
  <c r="G17" i="17"/>
  <c r="F17" i="17"/>
  <c r="E17" i="17"/>
  <c r="D17" i="17"/>
  <c r="C17" i="17"/>
  <c r="B17" i="17"/>
  <c r="K16" i="17"/>
  <c r="J16" i="17"/>
  <c r="I16" i="17"/>
  <c r="H16" i="17"/>
  <c r="G16" i="17"/>
  <c r="F16" i="17"/>
  <c r="E16" i="17"/>
  <c r="D16" i="17"/>
  <c r="C16" i="17"/>
  <c r="B16" i="17"/>
  <c r="K15" i="17"/>
  <c r="J15" i="17"/>
  <c r="I15" i="17"/>
  <c r="H15" i="17"/>
  <c r="G15" i="17"/>
  <c r="F15" i="17"/>
  <c r="E15" i="17"/>
  <c r="D15" i="17"/>
  <c r="C15" i="17"/>
  <c r="B15" i="17"/>
  <c r="K14" i="17"/>
  <c r="J14" i="17"/>
  <c r="I14" i="17"/>
  <c r="H14" i="17"/>
  <c r="G14" i="17"/>
  <c r="F14" i="17"/>
  <c r="E14" i="17"/>
  <c r="D14" i="17"/>
  <c r="C14" i="17"/>
  <c r="B14" i="17"/>
  <c r="K13" i="17"/>
  <c r="J13" i="17"/>
  <c r="I13" i="17"/>
  <c r="H13" i="17"/>
  <c r="G13" i="17"/>
  <c r="F13" i="17"/>
  <c r="E13" i="17"/>
  <c r="D13" i="17"/>
  <c r="C13" i="17"/>
  <c r="B13" i="17"/>
  <c r="K12" i="17"/>
  <c r="J12" i="17"/>
  <c r="I12" i="17"/>
  <c r="H12" i="17"/>
  <c r="G12" i="17"/>
  <c r="F12" i="17"/>
  <c r="E12" i="17"/>
  <c r="D12" i="17"/>
  <c r="C12" i="17"/>
  <c r="B12" i="17"/>
  <c r="K11" i="17"/>
  <c r="J11" i="17"/>
  <c r="I11" i="17"/>
  <c r="H11" i="17"/>
  <c r="G11" i="17"/>
  <c r="F11" i="17"/>
  <c r="E11" i="17"/>
  <c r="D11" i="17"/>
  <c r="C11" i="17"/>
  <c r="B11" i="17"/>
  <c r="K10" i="17"/>
  <c r="J10" i="17"/>
  <c r="I10" i="17"/>
  <c r="H10" i="17"/>
  <c r="G10" i="17"/>
  <c r="F10" i="17"/>
  <c r="E10" i="17"/>
  <c r="D10" i="17"/>
  <c r="C10" i="17"/>
  <c r="B10" i="17"/>
  <c r="K9" i="17"/>
  <c r="J9" i="17"/>
  <c r="I9" i="17"/>
  <c r="H9" i="17"/>
  <c r="G9" i="17"/>
  <c r="F9" i="17"/>
  <c r="E9" i="17"/>
  <c r="D9" i="17"/>
  <c r="C9" i="17"/>
  <c r="B9" i="17"/>
  <c r="K8" i="17"/>
  <c r="J8" i="17"/>
  <c r="I8" i="17"/>
  <c r="H8" i="17"/>
  <c r="G8" i="17"/>
  <c r="F8" i="17"/>
  <c r="E8" i="17"/>
  <c r="D8" i="17"/>
  <c r="C8" i="17"/>
  <c r="B8" i="17"/>
  <c r="K7" i="17"/>
  <c r="J7" i="17"/>
  <c r="I7" i="17"/>
  <c r="H7" i="17"/>
  <c r="G7" i="17"/>
  <c r="F7" i="17"/>
  <c r="E7" i="17"/>
  <c r="D7" i="17"/>
  <c r="C7" i="17"/>
  <c r="B7" i="17"/>
  <c r="K6" i="17"/>
  <c r="J6" i="17"/>
  <c r="I6" i="17"/>
  <c r="H6" i="17"/>
  <c r="G6" i="17"/>
  <c r="F6" i="17"/>
  <c r="E6" i="17"/>
  <c r="D6" i="17"/>
  <c r="C6" i="17"/>
  <c r="B6" i="17"/>
  <c r="K5" i="17"/>
  <c r="J5" i="17"/>
  <c r="I5" i="17"/>
  <c r="H5" i="17"/>
  <c r="G5" i="17"/>
  <c r="F5" i="17"/>
  <c r="E5" i="17"/>
  <c r="D5" i="17"/>
  <c r="C5" i="17"/>
  <c r="B5" i="17"/>
  <c r="K4" i="17"/>
  <c r="J4" i="17"/>
  <c r="I4" i="17"/>
  <c r="H4" i="17"/>
  <c r="G4" i="17"/>
  <c r="F4" i="17"/>
  <c r="E4" i="17"/>
  <c r="D4" i="17"/>
  <c r="C4" i="17"/>
  <c r="B4" i="17"/>
  <c r="K3" i="17"/>
  <c r="J3" i="17"/>
  <c r="I3" i="17"/>
  <c r="H3" i="17"/>
  <c r="G3" i="17"/>
  <c r="F3" i="17"/>
  <c r="E3" i="17"/>
  <c r="D3" i="17"/>
  <c r="C3" i="17"/>
  <c r="B3" i="17"/>
  <c r="K2" i="17"/>
  <c r="J2" i="17"/>
  <c r="I2" i="17"/>
  <c r="H2" i="17"/>
  <c r="G2" i="17"/>
  <c r="F2" i="17"/>
  <c r="E2" i="17"/>
  <c r="D2" i="17"/>
  <c r="C2" i="17"/>
  <c r="B2" i="17"/>
  <c r="C6" i="14"/>
  <c r="Q4" i="8"/>
  <c r="P4" i="8"/>
  <c r="O4" i="8"/>
  <c r="M4" i="8"/>
  <c r="L4" i="8"/>
  <c r="K4" i="8"/>
  <c r="I4" i="8"/>
  <c r="G4" i="8"/>
  <c r="E4" i="8"/>
  <c r="D4" i="8"/>
  <c r="C4" i="8"/>
  <c r="F4" i="8"/>
  <c r="J4" i="8"/>
  <c r="N4" i="8"/>
  <c r="H4" i="8"/>
  <c r="T7" i="8"/>
  <c r="U7" i="8"/>
  <c r="S7" i="8"/>
  <c r="R7" i="8"/>
  <c r="R5" i="8"/>
  <c r="R4" i="8"/>
  <c r="S5" i="8"/>
  <c r="S4" i="8"/>
  <c r="C14" i="10"/>
  <c r="H24" i="30"/>
  <c r="D14" i="10"/>
  <c r="G24" i="30"/>
  <c r="G28" i="30"/>
  <c r="G29" i="30"/>
  <c r="H28" i="30"/>
  <c r="H29" i="30"/>
  <c r="C17" i="13"/>
  <c r="D28" i="13"/>
  <c r="H9" i="30"/>
  <c r="H30" i="30"/>
  <c r="H34" i="30"/>
  <c r="H35" i="30"/>
  <c r="H37" i="30"/>
  <c r="I7" i="31"/>
  <c r="I12" i="31"/>
  <c r="I20" i="31"/>
  <c r="G7" i="32"/>
  <c r="G10" i="32"/>
  <c r="G18" i="32"/>
  <c r="C28" i="13"/>
  <c r="G9" i="30"/>
  <c r="G30" i="30"/>
  <c r="G34" i="30"/>
  <c r="G35" i="30"/>
  <c r="G37" i="30"/>
  <c r="H7" i="31"/>
  <c r="H12" i="31"/>
  <c r="H20" i="31"/>
  <c r="F7" i="32"/>
  <c r="F10" i="32"/>
  <c r="F18" i="32"/>
  <c r="B7" i="33"/>
  <c r="B8" i="33"/>
  <c r="B12" i="33"/>
  <c r="B34" i="33"/>
  <c r="B35" i="33"/>
  <c r="C7" i="33"/>
  <c r="C8" i="33"/>
  <c r="C12" i="33"/>
  <c r="C34" i="33"/>
  <c r="C35" i="33"/>
  <c r="B37" i="33"/>
  <c r="G31" i="30"/>
  <c r="H31" i="30"/>
</calcChain>
</file>

<file path=xl/sharedStrings.xml><?xml version="1.0" encoding="utf-8"?>
<sst xmlns="http://schemas.openxmlformats.org/spreadsheetml/2006/main" count="2179" uniqueCount="1129">
  <si>
    <t>Home Games</t>
  </si>
  <si>
    <t>Average Price of Wade Jersey</t>
  </si>
  <si>
    <t>Average Cost of Wade Jersey</t>
  </si>
  <si>
    <t>Average margins on a Wade Jersey</t>
  </si>
  <si>
    <t>Assumptions</t>
  </si>
  <si>
    <t>Wade Jersey's sold at local Bulls team store</t>
  </si>
  <si>
    <t>Total Revenue</t>
  </si>
  <si>
    <t>Revenue</t>
  </si>
  <si>
    <t>Total Expense</t>
  </si>
  <si>
    <t>NPV</t>
  </si>
  <si>
    <t>Base Salary</t>
  </si>
  <si>
    <t>http://www.spotrac.com/nba/chicago-bulls/dwyane-wade/</t>
  </si>
  <si>
    <t>https://m.box.com/shared_item/https%3A%2F%2Fumich.box.com%2Fs%2F41707f0b2619c0107b8b/view/18323777744</t>
  </si>
  <si>
    <t>Opportunity Cost</t>
  </si>
  <si>
    <t>2016 Attendance</t>
  </si>
  <si>
    <t>Home</t>
  </si>
  <si>
    <t>Road</t>
  </si>
  <si>
    <t>Overall</t>
  </si>
  <si>
    <t>RK</t>
  </si>
  <si>
    <t>TEAM</t>
  </si>
  <si>
    <t>GMS</t>
  </si>
  <si>
    <t>TOTAL</t>
  </si>
  <si>
    <t>AVG</t>
  </si>
  <si>
    <t>PCT</t>
  </si>
  <si>
    <t>Bulls</t>
  </si>
  <si>
    <t>2015 Attendance</t>
  </si>
  <si>
    <t>2014 Attendance</t>
  </si>
  <si>
    <t>2013 Attendance</t>
  </si>
  <si>
    <t>2012 Attendance</t>
  </si>
  <si>
    <t>2011 Attendance</t>
  </si>
  <si>
    <t>2010 Attendance</t>
  </si>
  <si>
    <t>2009 Attendance</t>
  </si>
  <si>
    <t>2008 Attendance</t>
  </si>
  <si>
    <t>2007 Attendance</t>
  </si>
  <si>
    <t>2006 Attendance</t>
  </si>
  <si>
    <t>2005 Attendance</t>
  </si>
  <si>
    <t>2004 Attendance</t>
  </si>
  <si>
    <t>2003 Attendance</t>
  </si>
  <si>
    <t>2002 Attendance</t>
  </si>
  <si>
    <t># of Home Games</t>
  </si>
  <si>
    <t>Attendance/Adjusted Capacity</t>
  </si>
  <si>
    <t>Adjusted Stadium Capacity</t>
  </si>
  <si>
    <t>Average Home Attendance per Game</t>
  </si>
  <si>
    <t>With Wade</t>
  </si>
  <si>
    <t>Attendance Differential</t>
  </si>
  <si>
    <t> 23,028</t>
  </si>
  <si>
    <t>Maximum Capacity</t>
  </si>
  <si>
    <t>YY Change in Attendance</t>
  </si>
  <si>
    <t>-</t>
  </si>
  <si>
    <t>Median</t>
  </si>
  <si>
    <t>Max</t>
  </si>
  <si>
    <t>Min</t>
  </si>
  <si>
    <t>15 Year Change</t>
  </si>
  <si>
    <t>Median Postive</t>
  </si>
  <si>
    <t>Median Negative</t>
  </si>
  <si>
    <t>Forecasted Change in Attendance</t>
  </si>
  <si>
    <t>Total Adjusted Home Game Attendance</t>
  </si>
  <si>
    <t>ATLANTA</t>
  </si>
  <si>
    <t>BOSTON</t>
  </si>
  <si>
    <t>Brooklyn</t>
  </si>
  <si>
    <t>CHARLOTTE</t>
  </si>
  <si>
    <t>CLEVELAND</t>
  </si>
  <si>
    <t>DALLAS</t>
  </si>
  <si>
    <t>DENVER</t>
  </si>
  <si>
    <t>DETROIT</t>
  </si>
  <si>
    <t>GOLDEN STATE</t>
  </si>
  <si>
    <t>HOUSTON</t>
  </si>
  <si>
    <t>INDIANA</t>
  </si>
  <si>
    <t>L.A. CLIPPERS</t>
  </si>
  <si>
    <t>L.A. LAKERS</t>
  </si>
  <si>
    <t>MEMPHIS</t>
  </si>
  <si>
    <t>MIAMI</t>
  </si>
  <si>
    <t>MILWAUKEE</t>
  </si>
  <si>
    <t>MINNESOTA</t>
  </si>
  <si>
    <t>NEW JERSEY</t>
  </si>
  <si>
    <t>NEW ORLEANS</t>
  </si>
  <si>
    <t>NEW YORK</t>
  </si>
  <si>
    <t>Oklahoma City Thunder</t>
  </si>
  <si>
    <t>ORLANDO</t>
  </si>
  <si>
    <t>PHILADELPHIA</t>
  </si>
  <si>
    <t>PHOENIX</t>
  </si>
  <si>
    <t>PORTLAND</t>
  </si>
  <si>
    <t>SACRAMENTO</t>
  </si>
  <si>
    <t>SAN ANTONIO</t>
  </si>
  <si>
    <t>SEATTLE</t>
  </si>
  <si>
    <t>TORONTO</t>
  </si>
  <si>
    <t>UTAH</t>
  </si>
  <si>
    <t>VANCOUVER</t>
  </si>
  <si>
    <t>WASHINGTON</t>
  </si>
  <si>
    <t>Forecasted Equation</t>
  </si>
  <si>
    <t>Alpha</t>
  </si>
  <si>
    <t>Beta</t>
  </si>
  <si>
    <t>Target</t>
  </si>
  <si>
    <t>FCI</t>
  </si>
  <si>
    <t>FCI Assumptions</t>
  </si>
  <si>
    <t>Two adult average price tickets</t>
  </si>
  <si>
    <t>Two child average price tickets</t>
  </si>
  <si>
    <t>Four small soft drinks</t>
  </si>
  <si>
    <t>Two small beers</t>
  </si>
  <si>
    <t>Four hot dogs</t>
  </si>
  <si>
    <t>Two programs</t>
  </si>
  <si>
    <t>Parking</t>
  </si>
  <si>
    <t>Two adult-size caps</t>
  </si>
  <si>
    <t>FCI Forecast</t>
  </si>
  <si>
    <t>FCI Adjsted per Person</t>
  </si>
  <si>
    <t>Ticket Expense</t>
  </si>
  <si>
    <t>Soft Drink Expense</t>
  </si>
  <si>
    <t>Beer Expense</t>
  </si>
  <si>
    <t>Hot Dog Expense</t>
  </si>
  <si>
    <t>Program Expense</t>
  </si>
  <si>
    <t>Cap Expense</t>
  </si>
  <si>
    <t>Year 2017</t>
  </si>
  <si>
    <t>Year 2018</t>
  </si>
  <si>
    <t>Wade Jersey's sold at home game</t>
  </si>
  <si>
    <t>Contract Cost</t>
  </si>
  <si>
    <t>Conference Finals</t>
  </si>
  <si>
    <t>Conference Semifinals</t>
  </si>
  <si>
    <t>First Round</t>
  </si>
  <si>
    <t>Estimated Winnings</t>
  </si>
  <si>
    <t>Total Predicted Winnings</t>
  </si>
  <si>
    <t>League Bonuses</t>
  </si>
  <si>
    <t>Change in Probability</t>
  </si>
  <si>
    <t>Total Predicted Home Game Revenue</t>
  </si>
  <si>
    <t>Total Predicted Home Game Expenses</t>
  </si>
  <si>
    <t>Playoff Home Game</t>
  </si>
  <si>
    <t>Total Predicted Revenue</t>
  </si>
  <si>
    <t>http://www.foxbusiness.com/features/2016/06/02/nba-playoff-bonuses-warriors-cavs-in-line-for-payday.html</t>
  </si>
  <si>
    <t>James Harden</t>
  </si>
  <si>
    <t>DeMar DeRozan</t>
  </si>
  <si>
    <t>Dwyane Wade</t>
  </si>
  <si>
    <t>Bradley Beal</t>
  </si>
  <si>
    <t>Nicolas Batum</t>
  </si>
  <si>
    <t>Jimmy Butler</t>
  </si>
  <si>
    <t>Wesley Matthews</t>
  </si>
  <si>
    <t>Evan Fournier</t>
  </si>
  <si>
    <t>Klay Thompson</t>
  </si>
  <si>
    <t>Manu Ginobili</t>
  </si>
  <si>
    <t>Jamal Crawford</t>
  </si>
  <si>
    <t>Arron Afflalo</t>
  </si>
  <si>
    <t>Jordan Clarkson</t>
  </si>
  <si>
    <t>Eric Gordon</t>
  </si>
  <si>
    <t>Courtney Lee</t>
  </si>
  <si>
    <t>Andre Iguodala</t>
  </si>
  <si>
    <t>Austin Rivers</t>
  </si>
  <si>
    <t>Monta Ellis</t>
  </si>
  <si>
    <t>Danny Green</t>
  </si>
  <si>
    <t>Iman Shumpert</t>
  </si>
  <si>
    <t>Matthew Dellavedova</t>
  </si>
  <si>
    <t>Gerald Henderson</t>
  </si>
  <si>
    <t>Avery Bradley</t>
  </si>
  <si>
    <t>Garrett Temple</t>
  </si>
  <si>
    <t>E'Twaun Moore</t>
  </si>
  <si>
    <t>Corey Brewer</t>
  </si>
  <si>
    <t>J.J. Redick</t>
  </si>
  <si>
    <t>Louis Williams</t>
  </si>
  <si>
    <t>Sergio Rodriguez</t>
  </si>
  <si>
    <t>Victor Oladipo</t>
  </si>
  <si>
    <t>Jodie Meeks</t>
  </si>
  <si>
    <t>Jeremy Lamb</t>
  </si>
  <si>
    <t>Wayne Ellington</t>
  </si>
  <si>
    <t>Tyler Johnson</t>
  </si>
  <si>
    <t>Wesley Johnson</t>
  </si>
  <si>
    <t>Tony Allen</t>
  </si>
  <si>
    <t>Kyle Korver</t>
  </si>
  <si>
    <t>C.J. Miles</t>
  </si>
  <si>
    <t>Vince Carter</t>
  </si>
  <si>
    <t>Ben McLemore</t>
  </si>
  <si>
    <t>Dante Exum</t>
  </si>
  <si>
    <t>Leandro Barbosa</t>
  </si>
  <si>
    <t>Kentavious Caldwell-Pope</t>
  </si>
  <si>
    <t>Will Barton</t>
  </si>
  <si>
    <t>Brandon Rush</t>
  </si>
  <si>
    <t>Anthony Morrow</t>
  </si>
  <si>
    <t>K.J. McDaniels</t>
  </si>
  <si>
    <t>C.J. McCollum</t>
  </si>
  <si>
    <t>Troy Daniels</t>
  </si>
  <si>
    <t>Nik Stauskas</t>
  </si>
  <si>
    <t>Seth Curry</t>
  </si>
  <si>
    <t>Tomas Satoransky</t>
  </si>
  <si>
    <t>Tim Hardaway Jr.</t>
  </si>
  <si>
    <t>Zach LaVine</t>
  </si>
  <si>
    <t>Devin Booker</t>
  </si>
  <si>
    <t>Andre Roberson</t>
  </si>
  <si>
    <t>Archie Goodwin</t>
  </si>
  <si>
    <t>James Young</t>
  </si>
  <si>
    <t>Rashad Vaughn</t>
  </si>
  <si>
    <t>Gary Harris</t>
  </si>
  <si>
    <t>Malik Beasley</t>
  </si>
  <si>
    <t>Caris LeVert</t>
  </si>
  <si>
    <t>Justin Anderson</t>
  </si>
  <si>
    <t>Jordan Adams</t>
  </si>
  <si>
    <t>Malachi Richardson</t>
  </si>
  <si>
    <t>Rodney Hood</t>
  </si>
  <si>
    <t>Toney Douglas</t>
  </si>
  <si>
    <t>C.J. Wilcox</t>
  </si>
  <si>
    <t>R.J. Hunter</t>
  </si>
  <si>
    <t>John Jenkins</t>
  </si>
  <si>
    <t>Glen Robinson III</t>
  </si>
  <si>
    <t>Hollis Thompson</t>
  </si>
  <si>
    <t>Justin Holiday</t>
  </si>
  <si>
    <t>Sean Kilpatrick</t>
  </si>
  <si>
    <t>Ian Clark</t>
  </si>
  <si>
    <t>JaKarr Sampson</t>
  </si>
  <si>
    <t>Marcus Thornton</t>
  </si>
  <si>
    <t>Sasha Vujacic</t>
  </si>
  <si>
    <t>Joe Harris</t>
  </si>
  <si>
    <t>Jordan McRae</t>
  </si>
  <si>
    <t>Luis Montero</t>
  </si>
  <si>
    <t>Lamar Patterson</t>
  </si>
  <si>
    <t>Pat Connaughton</t>
  </si>
  <si>
    <t>Norman Powell</t>
  </si>
  <si>
    <t>Josh Richardson</t>
  </si>
  <si>
    <t>Jonathan Simmons</t>
  </si>
  <si>
    <t>Axel Toupane</t>
  </si>
  <si>
    <t>Briante Weber</t>
  </si>
  <si>
    <t>Aaron Harrison</t>
  </si>
  <si>
    <t>Patrick McCaw</t>
  </si>
  <si>
    <t>Sheldon McClellan</t>
  </si>
  <si>
    <t>Rodney McGruder</t>
  </si>
  <si>
    <t>Ron Baker</t>
  </si>
  <si>
    <t>Malcom Delaney</t>
  </si>
  <si>
    <t>Bryn Forbes</t>
  </si>
  <si>
    <t>Michael Gbinije</t>
  </si>
  <si>
    <t>Salary</t>
  </si>
  <si>
    <t>Name (SG)</t>
  </si>
  <si>
    <t>Rank</t>
  </si>
  <si>
    <t>http://www.spotrac.com/nba/rankings/cap-hit/shooting-guard/</t>
  </si>
  <si>
    <t>Vegas Odds Before/After Wade</t>
  </si>
  <si>
    <t>Best Regular-Season Record</t>
  </si>
  <si>
    <t>Odds</t>
  </si>
  <si>
    <t>Probability</t>
  </si>
  <si>
    <t xml:space="preserve">Best Record in Conference: </t>
  </si>
  <si>
    <t>Win Conference</t>
  </si>
  <si>
    <t>40-1</t>
  </si>
  <si>
    <t>25-1</t>
  </si>
  <si>
    <t>Second-Best Record in Conference</t>
  </si>
  <si>
    <t>Win Finals</t>
  </si>
  <si>
    <t>100-1</t>
  </si>
  <si>
    <t>80-1</t>
  </si>
  <si>
    <t>Third-Best Record in Conference</t>
  </si>
  <si>
    <t>https://www.sportsinsights.com/blog/dwyane-wade-signs-with-the-chicago-bulls/</t>
  </si>
  <si>
    <t>Fourth-Best Record in Conference</t>
  </si>
  <si>
    <t>Fifth-Best Record in Conference</t>
  </si>
  <si>
    <t>Sixth-Best Record in Conference</t>
  </si>
  <si>
    <t>Teams Playing in First Round</t>
  </si>
  <si>
    <t>Teams Playing in Conference Semifinals</t>
  </si>
  <si>
    <t>Teams Playing in Conference Finals</t>
  </si>
  <si>
    <t>Losing Team, NBA Finals</t>
  </si>
  <si>
    <t>Winning Team, NBA Finals</t>
  </si>
  <si>
    <t>Revenue per Game</t>
  </si>
  <si>
    <t>NBA Finals</t>
  </si>
  <si>
    <t>Expenses per Game</t>
  </si>
  <si>
    <t>10 Year Treasury Bond 7-14-16</t>
  </si>
  <si>
    <t>Risk Free Rate</t>
  </si>
  <si>
    <t>Market Return</t>
  </si>
  <si>
    <t>Cost of Equity</t>
  </si>
  <si>
    <t>Spread</t>
  </si>
  <si>
    <t>http://pages.stern.nyu.edu/~adamodar/New_Home_Page/datafile/ratings.htm</t>
  </si>
  <si>
    <t>Cost of Debt</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</si>
  <si>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</si>
  <si>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</si>
  <si>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</si>
  <si>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</si>
  <si>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</si>
  <si>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</si>
  <si>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</si>
  <si>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</si>
  <si>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</si>
  <si>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</si>
  <si>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</si>
  <si>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</si>
  <si>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</si>
  <si>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</si>
  <si>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</si>
  <si>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</si>
  <si>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</si>
  <si>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</si>
  <si>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</si>
  <si>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</si>
  <si>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</si>
  <si>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</si>
  <si>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</si>
  <si>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</si>
  <si>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Average Market Value</t>
  </si>
  <si>
    <t>RESIDUAL OUTPUT</t>
  </si>
  <si>
    <t>Observation</t>
  </si>
  <si>
    <t>Predicted Chicago Bulls Value</t>
  </si>
  <si>
    <t>Residuals</t>
  </si>
  <si>
    <t>Standard Residuals</t>
  </si>
  <si>
    <t>Average Market Returns</t>
  </si>
  <si>
    <t>Chicago Bulls Value</t>
  </si>
  <si>
    <t>New York Knicks</t>
  </si>
  <si>
    <t>Los Angeles Lakers</t>
  </si>
  <si>
    <t>Chicago Bulls</t>
  </si>
  <si>
    <t>Boston Celtics</t>
  </si>
  <si>
    <t>Los Angeles Clippers</t>
  </si>
  <si>
    <t>Golden State Warriors</t>
  </si>
  <si>
    <t>Brooklyn Nets</t>
  </si>
  <si>
    <t>*new jersey nets</t>
  </si>
  <si>
    <t>Houston Rockets</t>
  </si>
  <si>
    <t>Dallas Mavericks</t>
  </si>
  <si>
    <t>Miami Heat</t>
  </si>
  <si>
    <t>San Antonio Spurs</t>
  </si>
  <si>
    <t>Cleveland Cavaliers</t>
  </si>
  <si>
    <t>Phoenix Suns</t>
  </si>
  <si>
    <t>Toronto Raptors</t>
  </si>
  <si>
    <t>Portland Trail Blazers</t>
  </si>
  <si>
    <t>Washington Wizards</t>
  </si>
  <si>
    <t>Sacramento Kings</t>
  </si>
  <si>
    <t>Orlando Magic</t>
  </si>
  <si>
    <t>Utah Jazz</t>
  </si>
  <si>
    <t>Denver Nuggets</t>
  </si>
  <si>
    <t>Detroit Pistons</t>
  </si>
  <si>
    <t>Indiana Pacers</t>
  </si>
  <si>
    <t>Atlanta Hawks</t>
  </si>
  <si>
    <t>Memphis Grizzlies</t>
  </si>
  <si>
    <t>Charlotte Hornets</t>
  </si>
  <si>
    <t>*charolette bobcats</t>
  </si>
  <si>
    <t>Minnesota Timberwolves</t>
  </si>
  <si>
    <t>Philadelphia 76ers</t>
  </si>
  <si>
    <t>Milwaukee Bucks</t>
  </si>
  <si>
    <t>New Orleans Pelicans</t>
  </si>
  <si>
    <t>New Orleans Hornets</t>
  </si>
  <si>
    <t>Total Market Value</t>
  </si>
  <si>
    <t>Forbes 2016 Team Valuations.  The Business of Basketball.  http://www.forbes.com/nba-valuations/list/#header:position  Gleaned Jan 20, 2016.</t>
  </si>
  <si>
    <t>Team</t>
  </si>
  <si>
    <t>Current Value</t>
  </si>
  <si>
    <t>1-Yr Value Change</t>
  </si>
  <si>
    <t>Debt/Value</t>
  </si>
  <si>
    <t>Operating Income</t>
  </si>
  <si>
    <t>#1</t>
  </si>
  <si>
    <t>$3 B</t>
  </si>
  <si>
    <t>$307 M</t>
  </si>
  <si>
    <t>$108.9 M</t>
  </si>
  <si>
    <t>Billion</t>
  </si>
  <si>
    <t>#2</t>
  </si>
  <si>
    <t>$2.7 B</t>
  </si>
  <si>
    <t>$304 M</t>
  </si>
  <si>
    <t>$133.4 M</t>
  </si>
  <si>
    <t>Million</t>
  </si>
  <si>
    <t>#3</t>
  </si>
  <si>
    <t>$2.3 B</t>
  </si>
  <si>
    <t>$228 M</t>
  </si>
  <si>
    <t>$67.6 M</t>
  </si>
  <si>
    <t>#4</t>
  </si>
  <si>
    <t>$2.1 B</t>
  </si>
  <si>
    <t>$181 M</t>
  </si>
  <si>
    <t>$57.4 M</t>
  </si>
  <si>
    <t>#5</t>
  </si>
  <si>
    <t>$2 B</t>
  </si>
  <si>
    <t>$176 M</t>
  </si>
  <si>
    <t>$20.6 M</t>
  </si>
  <si>
    <t>#6</t>
  </si>
  <si>
    <t>$1.9 B</t>
  </si>
  <si>
    <t>$201 M</t>
  </si>
  <si>
    <t>$57.6 M</t>
  </si>
  <si>
    <t>#7</t>
  </si>
  <si>
    <t>$1.7 B</t>
  </si>
  <si>
    <t>$220 M</t>
  </si>
  <si>
    <t>$-5.7 M</t>
  </si>
  <si>
    <t>#8</t>
  </si>
  <si>
    <t>$1.5 B</t>
  </si>
  <si>
    <t>$237 M</t>
  </si>
  <si>
    <t>$74.6 M</t>
  </si>
  <si>
    <t>#9</t>
  </si>
  <si>
    <t>$1.4 B</t>
  </si>
  <si>
    <t>$177 M</t>
  </si>
  <si>
    <t>$24.3 M</t>
  </si>
  <si>
    <t>#10</t>
  </si>
  <si>
    <t>$1.3 B</t>
  </si>
  <si>
    <t>$180 M</t>
  </si>
  <si>
    <t>$20.8 M</t>
  </si>
  <si>
    <t>#11</t>
  </si>
  <si>
    <t>$1.15 B</t>
  </si>
  <si>
    <t>$170 M</t>
  </si>
  <si>
    <t>$31.9 M</t>
  </si>
  <si>
    <t>#12</t>
  </si>
  <si>
    <t>$1.1 B</t>
  </si>
  <si>
    <t>$191 M</t>
  </si>
  <si>
    <t>$24.8 M</t>
  </si>
  <si>
    <t>#13</t>
  </si>
  <si>
    <t>$1 B</t>
  </si>
  <si>
    <t>$154 M</t>
  </si>
  <si>
    <t>$21.8 M</t>
  </si>
  <si>
    <t>#14</t>
  </si>
  <si>
    <t>$980 M</t>
  </si>
  <si>
    <t>$163 M</t>
  </si>
  <si>
    <t>$23.5 M</t>
  </si>
  <si>
    <t>#15</t>
  </si>
  <si>
    <t>$975 M</t>
  </si>
  <si>
    <t>$157 M</t>
  </si>
  <si>
    <t>$4.1 M</t>
  </si>
  <si>
    <t>#16</t>
  </si>
  <si>
    <t>$960 M</t>
  </si>
  <si>
    <t>$146 M</t>
  </si>
  <si>
    <t>$2.9 M</t>
  </si>
  <si>
    <t>#17</t>
  </si>
  <si>
    <t>$950 M</t>
  </si>
  <si>
    <t>$20.9 M</t>
  </si>
  <si>
    <t>#18</t>
  </si>
  <si>
    <t>$925 M</t>
  </si>
  <si>
    <t>$141 M</t>
  </si>
  <si>
    <t>$4.2 M</t>
  </si>
  <si>
    <t>#19</t>
  </si>
  <si>
    <t>$900 M</t>
  </si>
  <si>
    <t>$143 M</t>
  </si>
  <si>
    <t>$35.4 M</t>
  </si>
  <si>
    <t>#20</t>
  </si>
  <si>
    <t>$875 M</t>
  </si>
  <si>
    <t>$27.5 M</t>
  </si>
  <si>
    <t>#21</t>
  </si>
  <si>
    <t>$855 M</t>
  </si>
  <si>
    <t>$140 M</t>
  </si>
  <si>
    <t>$26.3 M</t>
  </si>
  <si>
    <t>#22</t>
  </si>
  <si>
    <t>$850 M</t>
  </si>
  <si>
    <t>$16 M</t>
  </si>
  <si>
    <t>#23</t>
  </si>
  <si>
    <t>$840 M</t>
  </si>
  <si>
    <t>$138 M</t>
  </si>
  <si>
    <t>$19 M</t>
  </si>
  <si>
    <t>#24</t>
  </si>
  <si>
    <t>$825 M</t>
  </si>
  <si>
    <t>$142 M</t>
  </si>
  <si>
    <t>$7 M</t>
  </si>
  <si>
    <t>#25</t>
  </si>
  <si>
    <t>$780 M</t>
  </si>
  <si>
    <t>$147 M</t>
  </si>
  <si>
    <t>$10.3 M</t>
  </si>
  <si>
    <t>#26</t>
  </si>
  <si>
    <t>$750 M</t>
  </si>
  <si>
    <t>$3.7 M</t>
  </si>
  <si>
    <t>#27</t>
  </si>
  <si>
    <t>$720 M</t>
  </si>
  <si>
    <t>$15.1 M</t>
  </si>
  <si>
    <t>#28</t>
  </si>
  <si>
    <t>$700 M</t>
  </si>
  <si>
    <t>$124 M</t>
  </si>
  <si>
    <t>$13.9 M</t>
  </si>
  <si>
    <t>#29</t>
  </si>
  <si>
    <t>$675 M</t>
  </si>
  <si>
    <t>$126 M</t>
  </si>
  <si>
    <t>$11.6 M</t>
  </si>
  <si>
    <t>#30</t>
  </si>
  <si>
    <t>$650 M</t>
  </si>
  <si>
    <t>$19.7 M</t>
  </si>
  <si>
    <t>Revenue and operating income are for 2014-15 season and net of revenue sharing and arena debt service.</t>
  </si>
  <si>
    <t>Value of team based on current arena deal (unless new arena is pending) without deduction for debt (other than arena debt).</t>
  </si>
  <si>
    <t>Net of arena revenues used for debt payments.</t>
  </si>
  <si>
    <t>Earnings before interest, taxes, depreciation and amortization.</t>
  </si>
  <si>
    <t>Includes arena debts.</t>
  </si>
  <si>
    <t>Includes benefits and bonuses.</t>
  </si>
  <si>
    <t>Includes club seats.</t>
  </si>
  <si>
    <t>Compares the number of wins per player payroll relative to the rest of the NBA. Playoff wins count twice as much as regular season wins. A score of 120 means that the team achieved 20% more victories per dollar of payroll compared with the league average during the 2014-15 season.</t>
  </si>
  <si>
    <t>Local revenues divided by metro population with populations in two-team markets divided in half.</t>
  </si>
  <si>
    <t>Portion of franchise's value attributable to revenue shared among all teams.</t>
  </si>
  <si>
    <t>Portion of franchise's value attributable to its city and market size.</t>
  </si>
  <si>
    <t>Portion of franchise's value attributable to its arena.</t>
  </si>
  <si>
    <t>Portion of franchise's value attributable to its brand.</t>
  </si>
  <si>
    <t>Current team value compared with latest transaction price.</t>
  </si>
  <si>
    <t>Renovation.</t>
  </si>
  <si>
    <t>Forbes 2015 NBA Team Valuations.  Gleaned forbes.com Jan 21, 2015.</t>
  </si>
  <si>
    <t>Current Value ($mil)</t>
  </si>
  <si>
    <t>1-Yr Value Change (%)</t>
  </si>
  <si>
    <t>Debt/Value (%)</t>
  </si>
  <si>
    <t>Revenue ($mil)</t>
  </si>
  <si>
    <t>Operating Income ($mil)</t>
  </si>
  <si>
    <t>Charlotte Bobcats</t>
  </si>
  <si>
    <t>Revenue and operating income are for 2013-14 season and net of revenue sharing and arena debt service.</t>
  </si>
  <si>
    <t>Compares the number of wins per player payroll relative to the rest of the NBA. Playoff wins count twice as much as regular season wins. A score of 120 means that the team achieved 20% more victories per dollar of payroll compared with the league average during the 2013-14 season.</t>
  </si>
  <si>
    <t>Forbes NBA Team Values 2014.  http://www.forbes.com/nba-valuations/#page:1_sort:0_direction:asc_search:</t>
  </si>
  <si>
    <t>Gleaned 1/23/14</t>
  </si>
  <si>
    <t>Revenue and operating income are for 2012-13 season and net of revenue sharing and arena debt service.</t>
  </si>
  <si>
    <t>Compares the number of wins per player payroll relative to the rest of the NBA. Playoff wins count twice as much as regular season wins. A score of 120 means that the team achieved 20% more victories per dollar of payroll compared with the league average during the 2012-13 season.</t>
  </si>
  <si>
    <t>From Forbes annual team valuations, 2013.</t>
  </si>
  <si>
    <t>Revenue and operating income are for 2011-12 season and net of revenue sharing and arena debt service.</t>
  </si>
  <si>
    <t>Value of team based on current arena deal (unless new stadium is pending) without deduction for debt (other than arena debt).</t>
  </si>
  <si>
    <t>Net of stadium revenues used for debt payments.</t>
  </si>
  <si>
    <t>Compares the number of wins per player payroll relative to the rest of the NBA. Playoff wins count twice as much as regular season wins. A score of 120 means that the team achieved 20% more victories per dollar of payroll compared with the league average during the 2011-12 season.</t>
  </si>
  <si>
    <t>Forbes 2012 NBA Team Valuations, 1/25/12.  Gleaned Sept. 29, 2012.</t>
  </si>
  <si>
    <t>New Jersey Nets</t>
  </si>
  <si>
    <t>NBA Team Valuations 2011.  Forbes.com, gleaned September 30, 2011</t>
    <phoneticPr fontId="4" type="noConversion"/>
  </si>
  <si>
    <t>TEAM</t>
    <phoneticPr fontId="4" type="noConversion"/>
  </si>
  <si>
    <t>CURRENT VALUE1 ($MIL)</t>
    <phoneticPr fontId="4" type="noConversion"/>
  </si>
  <si>
    <t>1-YR VALUE CHANGE2 (%)</t>
    <phoneticPr fontId="4" type="noConversion"/>
  </si>
  <si>
    <t>DEBT/VALUE4 (%)</t>
    <phoneticPr fontId="4" type="noConversion"/>
  </si>
  <si>
    <t>REVENUE4 ($MIL)</t>
    <phoneticPr fontId="4" type="noConversion"/>
  </si>
  <si>
    <t>OPERATING INCOME55 ($MIL)</t>
    <phoneticPr fontId="4" type="noConversion"/>
  </si>
  <si>
    <t>Los Angeles Lakers</t>
    <phoneticPr fontId="4" type="noConversion"/>
  </si>
  <si>
    <t>Chicago</t>
  </si>
  <si>
    <t>Boston</t>
  </si>
  <si>
    <t>Houston</t>
  </si>
  <si>
    <t>Dallas</t>
  </si>
  <si>
    <t>Miami</t>
  </si>
  <si>
    <t>Phoenix</t>
  </si>
  <si>
    <t>San Antonio</t>
    <phoneticPr fontId="4" type="noConversion"/>
  </si>
  <si>
    <t>Toronto</t>
  </si>
  <si>
    <t>Orlando</t>
  </si>
  <si>
    <t>Golden State</t>
    <phoneticPr fontId="4" type="noConversion"/>
  </si>
  <si>
    <t>Detroit</t>
  </si>
  <si>
    <t>Portland</t>
  </si>
  <si>
    <t>Cleveland</t>
  </si>
  <si>
    <t>Utah</t>
  </si>
  <si>
    <t>Philadelphia</t>
  </si>
  <si>
    <t>Oklahoma City</t>
    <phoneticPr fontId="4" type="noConversion"/>
  </si>
  <si>
    <t>Washington</t>
  </si>
  <si>
    <t>Denver</t>
  </si>
  <si>
    <t>New Jersey</t>
    <phoneticPr fontId="4" type="noConversion"/>
  </si>
  <si>
    <t>Los Angeles Clippers</t>
    <phoneticPr fontId="4" type="noConversion"/>
  </si>
  <si>
    <t>Atlanta</t>
  </si>
  <si>
    <t>Sacramento</t>
  </si>
  <si>
    <t>Charlotte</t>
  </si>
  <si>
    <t>New Orleans</t>
    <phoneticPr fontId="4" type="noConversion"/>
  </si>
  <si>
    <t>Indiana</t>
  </si>
  <si>
    <t>Memphis</t>
  </si>
  <si>
    <t>Minnesota</t>
  </si>
  <si>
    <t>Milwaukee</t>
  </si>
  <si>
    <t>Revenues and operating income are for 2010 season and include revenue sharing.</t>
    <phoneticPr fontId="4" type="noConversion"/>
  </si>
  <si>
    <t>1Value of team based on current stadium deal (unless new stadium is pending) without deduction for debt (other than stadium debt).</t>
    <phoneticPr fontId="4" type="noConversion"/>
  </si>
  <si>
    <t>2Current team value compared with latest transaction price.</t>
    <phoneticPr fontId="4" type="noConversion"/>
  </si>
  <si>
    <t>3Includes stadium debt.</t>
    <phoneticPr fontId="4" type="noConversion"/>
  </si>
  <si>
    <t>4Net of stadium revenues used for debt payments.</t>
    <phoneticPr fontId="4" type="noConversion"/>
  </si>
  <si>
    <t>5EBITDA</t>
    <phoneticPr fontId="4" type="noConversion"/>
  </si>
  <si>
    <t>NBA Team Valuations 2010.  Forbes.com, gleaned September 30, 2011.</t>
    <phoneticPr fontId="4" type="noConversion"/>
  </si>
  <si>
    <t>TEAM</t>
    <phoneticPr fontId="4" type="noConversion"/>
  </si>
  <si>
    <t>CURRENT VALUE1 ($MIL)</t>
    <phoneticPr fontId="4" type="noConversion"/>
  </si>
  <si>
    <t>1-YR VALUE CHANGE2 (%)</t>
    <phoneticPr fontId="4" type="noConversion"/>
  </si>
  <si>
    <t>DEBT/VALUE4 (%)</t>
    <phoneticPr fontId="4" type="noConversion"/>
  </si>
  <si>
    <t>OPERATING INCOME55 ($MIL)</t>
    <phoneticPr fontId="4" type="noConversion"/>
  </si>
  <si>
    <t>Los Angeles Lakers</t>
    <phoneticPr fontId="4" type="noConversion"/>
  </si>
  <si>
    <t>607</t>
  </si>
  <si>
    <t xml:space="preserve">4	</t>
  </si>
  <si>
    <t xml:space="preserve">20	</t>
  </si>
  <si>
    <t xml:space="preserve">209	</t>
  </si>
  <si>
    <t>Chicago</t>
    <phoneticPr fontId="4" type="noConversion"/>
  </si>
  <si>
    <t>511</t>
  </si>
  <si>
    <t xml:space="preserve">2	</t>
  </si>
  <si>
    <t xml:space="preserve">11	</t>
  </si>
  <si>
    <t xml:space="preserve">168	</t>
  </si>
  <si>
    <t>Detroit</t>
    <phoneticPr fontId="4" type="noConversion"/>
  </si>
  <si>
    <t>479</t>
  </si>
  <si>
    <t xml:space="preserve">0	</t>
  </si>
  <si>
    <t xml:space="preserve">171	</t>
  </si>
  <si>
    <t>Houston</t>
    <phoneticPr fontId="4" type="noConversion"/>
  </si>
  <si>
    <t>470</t>
  </si>
  <si>
    <t xml:space="preserve">15	</t>
  </si>
  <si>
    <t xml:space="preserve">160	</t>
  </si>
  <si>
    <t>New York Knicks</t>
    <phoneticPr fontId="4" type="noConversion"/>
  </si>
  <si>
    <t>586</t>
  </si>
  <si>
    <t xml:space="preserve">-4	</t>
  </si>
  <si>
    <t xml:space="preserve">202	</t>
  </si>
  <si>
    <t>Phoenix</t>
    <phoneticPr fontId="4" type="noConversion"/>
  </si>
  <si>
    <t>429</t>
  </si>
  <si>
    <t xml:space="preserve">-5	</t>
  </si>
  <si>
    <t xml:space="preserve">43	</t>
  </si>
  <si>
    <t xml:space="preserve">148	</t>
  </si>
  <si>
    <t>San Antonio</t>
    <phoneticPr fontId="4" type="noConversion"/>
  </si>
  <si>
    <t>398</t>
  </si>
  <si>
    <t xml:space="preserve">12	</t>
  </si>
  <si>
    <t xml:space="preserve">133	</t>
  </si>
  <si>
    <t>Toronto</t>
    <phoneticPr fontId="4" type="noConversion"/>
  </si>
  <si>
    <t>386</t>
  </si>
  <si>
    <t xml:space="preserve">-3	</t>
  </si>
  <si>
    <t xml:space="preserve">38	</t>
  </si>
  <si>
    <t>Boston</t>
    <phoneticPr fontId="4" type="noConversion"/>
  </si>
  <si>
    <t>433</t>
  </si>
  <si>
    <t xml:space="preserve">42	</t>
  </si>
  <si>
    <t xml:space="preserve">144	</t>
  </si>
  <si>
    <t>Oklahoma City</t>
    <phoneticPr fontId="4" type="noConversion"/>
  </si>
  <si>
    <t>310</t>
  </si>
  <si>
    <t xml:space="preserve">3	</t>
  </si>
  <si>
    <t xml:space="preserve">45	</t>
  </si>
  <si>
    <t xml:space="preserve">111	</t>
  </si>
  <si>
    <t>Golden State</t>
    <phoneticPr fontId="4" type="noConversion"/>
  </si>
  <si>
    <t>315</t>
  </si>
  <si>
    <t xml:space="preserve">-6	</t>
  </si>
  <si>
    <t xml:space="preserve">24	</t>
  </si>
  <si>
    <t xml:space="preserve">113	</t>
  </si>
  <si>
    <t>Los Angeles</t>
    <phoneticPr fontId="4" type="noConversion"/>
  </si>
  <si>
    <t>295</t>
  </si>
  <si>
    <t xml:space="preserve">-1	</t>
  </si>
  <si>
    <t xml:space="preserve">102	</t>
  </si>
  <si>
    <t>Miami</t>
    <phoneticPr fontId="4" type="noConversion"/>
  </si>
  <si>
    <t>364</t>
  </si>
  <si>
    <t xml:space="preserve">-7	</t>
  </si>
  <si>
    <t xml:space="preserve">126	</t>
  </si>
  <si>
    <t>Utha</t>
    <phoneticPr fontId="4" type="noConversion"/>
  </si>
  <si>
    <t>343</t>
  </si>
  <si>
    <t xml:space="preserve">6	</t>
  </si>
  <si>
    <t xml:space="preserve">118	</t>
  </si>
  <si>
    <t>Philadelphia</t>
    <phoneticPr fontId="4" type="noConversion"/>
  </si>
  <si>
    <t>344</t>
  </si>
  <si>
    <t xml:space="preserve">19	</t>
  </si>
  <si>
    <t xml:space="preserve">115	</t>
  </si>
  <si>
    <t>Cleveland</t>
    <phoneticPr fontId="4" type="noConversion"/>
  </si>
  <si>
    <t>476</t>
  </si>
  <si>
    <t xml:space="preserve">159	</t>
  </si>
  <si>
    <t>Washington</t>
    <phoneticPr fontId="4" type="noConversion"/>
  </si>
  <si>
    <t>313</t>
  </si>
  <si>
    <t xml:space="preserve">-11	</t>
  </si>
  <si>
    <t xml:space="preserve">62	</t>
  </si>
  <si>
    <t xml:space="preserve">110	</t>
  </si>
  <si>
    <t>Denver</t>
    <phoneticPr fontId="4" type="noConversion"/>
  </si>
  <si>
    <t>321</t>
  </si>
  <si>
    <t>267</t>
  </si>
  <si>
    <t xml:space="preserve">55	</t>
  </si>
  <si>
    <t xml:space="preserve">95	</t>
  </si>
  <si>
    <t>Atlanta</t>
    <phoneticPr fontId="4" type="noConversion"/>
  </si>
  <si>
    <t>306</t>
  </si>
  <si>
    <t xml:space="preserve">21	</t>
  </si>
  <si>
    <t xml:space="preserve">103	</t>
  </si>
  <si>
    <t>Orlando</t>
    <phoneticPr fontId="4" type="noConversion"/>
  </si>
  <si>
    <t>361</t>
  </si>
  <si>
    <t xml:space="preserve">30	</t>
  </si>
  <si>
    <t xml:space="preserve">107	</t>
  </si>
  <si>
    <t>Sacramento</t>
    <phoneticPr fontId="4" type="noConversion"/>
  </si>
  <si>
    <t>305</t>
  </si>
  <si>
    <t xml:space="preserve">-13	</t>
  </si>
  <si>
    <t xml:space="preserve">31	</t>
  </si>
  <si>
    <t xml:space="preserve">109	</t>
  </si>
  <si>
    <t>Minnesota</t>
    <phoneticPr fontId="4" type="noConversion"/>
  </si>
  <si>
    <t>268</t>
  </si>
  <si>
    <t xml:space="preserve">96	</t>
  </si>
  <si>
    <t>Memphis</t>
    <phoneticPr fontId="4" type="noConversion"/>
  </si>
  <si>
    <t>257</t>
  </si>
  <si>
    <t xml:space="preserve">58	</t>
  </si>
  <si>
    <t xml:space="preserve">88	</t>
  </si>
  <si>
    <t>Milwaukee</t>
    <phoneticPr fontId="4" type="noConversion"/>
  </si>
  <si>
    <t>254</t>
  </si>
  <si>
    <t xml:space="preserve">-9	</t>
  </si>
  <si>
    <t xml:space="preserve">22	</t>
  </si>
  <si>
    <t xml:space="preserve">91	</t>
  </si>
  <si>
    <t>New Jersey</t>
    <phoneticPr fontId="4" type="noConversion"/>
  </si>
  <si>
    <t>269</t>
  </si>
  <si>
    <t xml:space="preserve">77	</t>
  </si>
  <si>
    <t xml:space="preserve">92	</t>
  </si>
  <si>
    <t>Charlotte</t>
    <phoneticPr fontId="4" type="noConversion"/>
  </si>
  <si>
    <t>278</t>
  </si>
  <si>
    <t xml:space="preserve">-2	</t>
  </si>
  <si>
    <t>Indiana</t>
    <phoneticPr fontId="4" type="noConversion"/>
  </si>
  <si>
    <t>281</t>
  </si>
  <si>
    <t xml:space="preserve">18	</t>
  </si>
  <si>
    <t xml:space="preserve">97	</t>
  </si>
  <si>
    <t>Dallas</t>
    <phoneticPr fontId="4" type="noConversion"/>
  </si>
  <si>
    <t>446</t>
  </si>
  <si>
    <t xml:space="preserve">26	</t>
  </si>
  <si>
    <t xml:space="preserve">154	</t>
  </si>
  <si>
    <t>Portland</t>
    <phoneticPr fontId="4" type="noConversion"/>
  </si>
  <si>
    <t>338</t>
  </si>
  <si>
    <t xml:space="preserve">10	</t>
  </si>
  <si>
    <t xml:space="preserve">121	</t>
  </si>
  <si>
    <t>1Value of team based on current stadium deal (unless new stadium is pending) without deduction for debt (other than stadium debt).</t>
    <phoneticPr fontId="4" type="noConversion"/>
  </si>
  <si>
    <t>2Current team value compared with latest transaction price.</t>
    <phoneticPr fontId="4" type="noConversion"/>
  </si>
  <si>
    <t>3Includes stadium debt.</t>
    <phoneticPr fontId="4" type="noConversion"/>
  </si>
  <si>
    <t>4Net of stadium revenues used for debt payments.</t>
    <phoneticPr fontId="4" type="noConversion"/>
  </si>
  <si>
    <t>5EBITDA</t>
    <phoneticPr fontId="4" type="noConversion"/>
  </si>
  <si>
    <t>2008-09 Forbes NBA Team Valuations.  Sportsbusinessnews.com, December 4, 2008.</t>
  </si>
  <si>
    <t>Current Value1 ($mil)</t>
  </si>
  <si>
    <t>Debt/Value3 (%)</t>
  </si>
  <si>
    <t>Revenue4 ($mil)</t>
  </si>
  <si>
    <t>Operating Income5 ($mil)</t>
  </si>
  <si>
    <t>Revenues and operating income are for 07-08 season and are net of revenue sharing.</t>
  </si>
  <si>
    <r>
      <t>1</t>
    </r>
    <r>
      <rPr>
        <sz val="12"/>
        <color theme="1"/>
        <rFont val="Calibri"/>
        <family val="2"/>
        <scheme val="minor"/>
      </rPr>
      <t>Value of team based on current arena deal (unless new arena is pending) without deduction for debt (other than arena debt).</t>
    </r>
  </si>
  <si>
    <r>
      <t>3</t>
    </r>
    <r>
      <rPr>
        <sz val="12"/>
        <color theme="1"/>
        <rFont val="Calibri"/>
        <family val="2"/>
        <scheme val="minor"/>
      </rPr>
      <t>Includes arena debt.</t>
    </r>
  </si>
  <si>
    <r>
      <t>4</t>
    </r>
    <r>
      <rPr>
        <sz val="12"/>
        <color theme="1"/>
        <rFont val="Calibri"/>
        <family val="2"/>
        <scheme val="minor"/>
      </rPr>
      <t xml:space="preserve">Net of arena revenues used for debt payments. </t>
    </r>
    <r>
      <rPr>
        <sz val="12"/>
        <color theme="1"/>
        <rFont val="Calibri"/>
        <family val="2"/>
        <scheme val="minor"/>
      </rPr>
      <t>5</t>
    </r>
    <r>
      <rPr>
        <sz val="12"/>
        <color theme="1"/>
        <rFont val="Calibri"/>
        <family val="2"/>
        <scheme val="minor"/>
      </rPr>
      <t>Earnings before interest, taxes, depreciation and amortization.</t>
    </r>
  </si>
  <si>
    <t>NA: Not applicable.</t>
  </si>
  <si>
    <r>
      <t>Forbes 2007-08 NBA Financial Valuation</t>
    </r>
    <r>
      <rPr>
        <sz val="9"/>
        <color indexed="8"/>
        <rFont val="Arial"/>
        <family val="2"/>
      </rPr>
      <t xml:space="preserve"> </t>
    </r>
    <r>
      <rPr>
        <i/>
        <sz val="8"/>
        <color indexed="8"/>
        <rFont val="Arial"/>
        <family val="2"/>
      </rPr>
      <t>Posted on Thursday, December 13 2007</t>
    </r>
  </si>
  <si>
    <t>Current Value 1 ($mil)</t>
  </si>
  <si>
    <t>Debt/Value 3 (%)</t>
  </si>
  <si>
    <t>Revenue 4 ($mil)</t>
  </si>
  <si>
    <t>Operating Income 5 ($mil)</t>
  </si>
  <si>
    <t>Seattle SuperSonics</t>
  </si>
  <si>
    <t>Revenues and operating income are for 06-07 season and are net of revenue sharing.</t>
  </si>
  <si>
    <t>1Value of team based on current arena deal (unless new arena is pending) without deduction for debt (other than arena debt).</t>
  </si>
  <si>
    <t>3Includes arena debt.</t>
  </si>
  <si>
    <t>4Net of arena revenues used for debt payments. 5Earnings before interest, taxes, depreciation and amortization.</t>
  </si>
  <si>
    <t>NBA Team Valuations 2007</t>
  </si>
  <si>
    <t>01.25.07, 6:00 PM ET</t>
  </si>
  <si>
    <t>Revenues and operating income are for 05-06 season and are net of revenue sharing.</t>
  </si>
  <si>
    <r>
      <t>4</t>
    </r>
    <r>
      <rPr>
        <sz val="12"/>
        <color theme="1"/>
        <rFont val="Calibri"/>
        <family val="2"/>
        <scheme val="minor"/>
      </rPr>
      <t xml:space="preserve">Net of arena revenues used for debt payments. </t>
    </r>
    <r>
      <rPr>
        <vertAlign val="superscript"/>
        <sz val="10"/>
        <rFont val="Arial"/>
        <family val="2"/>
      </rPr>
      <t>5</t>
    </r>
    <r>
      <rPr>
        <sz val="12"/>
        <color theme="1"/>
        <rFont val="Calibri"/>
        <family val="2"/>
        <scheme val="minor"/>
      </rPr>
      <t>Earnings before interest, taxes, depreciation and amortization.</t>
    </r>
  </si>
  <si>
    <t>NBA Team Valuations, 2005-06.  Forbes.  Gleaned 1/5/07.</t>
  </si>
  <si>
    <t>Revenues4 ($mil)</t>
  </si>
  <si>
    <t>NA</t>
  </si>
  <si>
    <t>Revenues and operating income are for 2004-05 season.</t>
  </si>
  <si>
    <r>
      <t>1</t>
    </r>
    <r>
      <rPr>
        <sz val="12"/>
        <color theme="1"/>
        <rFont val="Calibri"/>
        <family val="2"/>
        <scheme val="minor"/>
      </rPr>
      <t>Value of team based on current stadium deal (unless new stadium is pending) without deduction for debt (other than stadium debt).</t>
    </r>
  </si>
  <si>
    <r>
      <t>2</t>
    </r>
    <r>
      <rPr>
        <sz val="12"/>
        <color theme="1"/>
        <rFont val="Calibri"/>
        <family val="2"/>
        <scheme val="minor"/>
      </rPr>
      <t>Current team value compared with latest transaction price.</t>
    </r>
  </si>
  <si>
    <r>
      <t>3</t>
    </r>
    <r>
      <rPr>
        <sz val="12"/>
        <color theme="1"/>
        <rFont val="Calibri"/>
        <family val="2"/>
        <scheme val="minor"/>
      </rPr>
      <t>Includes stadium debt.</t>
    </r>
  </si>
  <si>
    <r>
      <t>4</t>
    </r>
    <r>
      <rPr>
        <sz val="12"/>
        <color theme="1"/>
        <rFont val="Calibri"/>
        <family val="2"/>
        <scheme val="minor"/>
      </rPr>
      <t>Net of stadium revenues used for debt payments.</t>
    </r>
  </si>
  <si>
    <r>
      <t>5</t>
    </r>
    <r>
      <rPr>
        <sz val="12"/>
        <color theme="1"/>
        <rFont val="Calibri"/>
        <family val="2"/>
        <scheme val="minor"/>
      </rPr>
      <t>Earnings before interest, taxes, depreciation and amortization.</t>
    </r>
  </si>
  <si>
    <r>
      <t>6</t>
    </r>
    <r>
      <rPr>
        <sz val="12"/>
        <color theme="1"/>
        <rFont val="Calibri"/>
        <family val="2"/>
        <scheme val="minor"/>
      </rPr>
      <t>Includes benefits and bonuses.</t>
    </r>
  </si>
  <si>
    <r>
      <t>7</t>
    </r>
    <r>
      <rPr>
        <sz val="12"/>
        <color theme="1"/>
        <rFont val="Calibri"/>
        <family val="2"/>
        <scheme val="minor"/>
      </rPr>
      <t>Includes club seats.</t>
    </r>
  </si>
  <si>
    <r>
      <t>8</t>
    </r>
    <r>
      <rPr>
        <sz val="12"/>
        <color theme="1"/>
        <rFont val="Calibri"/>
        <family val="2"/>
        <scheme val="minor"/>
      </rPr>
      <t>Compares the number of wins per player payroll relative to the rest of the NBA. Postseason wins count twice as much as regular season wins. A score of 120 means that the team achieved 20% more victories per dollar of payroll compared with the league average.</t>
    </r>
  </si>
  <si>
    <t>Balance Sheet</t>
  </si>
  <si>
    <t>2017 and 2018 Projections</t>
  </si>
  <si>
    <t>Assets</t>
  </si>
  <si>
    <t>Current assets</t>
  </si>
  <si>
    <t>Cash and Cash equivalents</t>
  </si>
  <si>
    <t>Accounts receivable, net</t>
  </si>
  <si>
    <t>Prepaid expenses and other assets</t>
  </si>
  <si>
    <t>Total assets</t>
  </si>
  <si>
    <t>Liabilities</t>
  </si>
  <si>
    <t>Current liabilities:</t>
  </si>
  <si>
    <t>Unearned revenue</t>
  </si>
  <si>
    <t>Current installments of long-term debt</t>
  </si>
  <si>
    <t>Total liabilities</t>
  </si>
  <si>
    <t>Partners' deficit</t>
  </si>
  <si>
    <t>Commitments and contingencies</t>
  </si>
  <si>
    <t>Statements of Operations</t>
  </si>
  <si>
    <t>Operating revenues:</t>
  </si>
  <si>
    <t>Regular season</t>
  </si>
  <si>
    <t>Playoffs</t>
  </si>
  <si>
    <t>Total operating revenues</t>
  </si>
  <si>
    <t>Operating expenses:</t>
  </si>
  <si>
    <t>Arena operations</t>
  </si>
  <si>
    <t>Marketing and advertising</t>
  </si>
  <si>
    <t>General and administrative</t>
  </si>
  <si>
    <t>Total operating expenses</t>
  </si>
  <si>
    <t>Income from operations</t>
  </si>
  <si>
    <t>Other income (expense):</t>
  </si>
  <si>
    <t>Interest expense</t>
  </si>
  <si>
    <t>Revenue sharing repayment</t>
  </si>
  <si>
    <t>Total other expense</t>
  </si>
  <si>
    <t>Net income (loss)</t>
  </si>
  <si>
    <t>Statements of Cash Flow</t>
  </si>
  <si>
    <t>Cash flows from operating actvities:</t>
  </si>
  <si>
    <t>Adjustments to reconcile net income (loss) to net cash</t>
  </si>
  <si>
    <t>Changes in operating assets and liabilities</t>
  </si>
  <si>
    <t>Increase in unearned revenue</t>
  </si>
  <si>
    <t>Net cash used in operating activities</t>
  </si>
  <si>
    <t>Cash flow from investing activities</t>
  </si>
  <si>
    <t>Net cash (used in) provided by investing activities</t>
  </si>
  <si>
    <t>Cash flows from financing activities:</t>
  </si>
  <si>
    <t>Net cash (used in) provided by financing activities</t>
  </si>
  <si>
    <t>Net (decrease) increase in cash and cash equivalents</t>
  </si>
  <si>
    <t>Home game revenue:</t>
  </si>
  <si>
    <t>Merchandise:</t>
  </si>
  <si>
    <t>Apparel</t>
  </si>
  <si>
    <t>Player salaries</t>
  </si>
  <si>
    <t>Decrease (increase) in accounts receivable</t>
  </si>
  <si>
    <t>For the Year end June 30, 2017 and 2018 Projections</t>
  </si>
  <si>
    <t>Playoff Expenses</t>
  </si>
  <si>
    <t>Discounted Cash Flow Model</t>
  </si>
  <si>
    <t>Projected</t>
  </si>
  <si>
    <t>Earnings Before Interest and Taxes</t>
  </si>
  <si>
    <t>x (1-Tax Rate)</t>
  </si>
  <si>
    <t>+ Depreciation and Amortization</t>
  </si>
  <si>
    <t>- Capital Expenditures</t>
  </si>
  <si>
    <t>- Change in Net Working Capital</t>
  </si>
  <si>
    <t>= Free Cash Flow</t>
  </si>
  <si>
    <t>Calculate Cost of Equity Using CAPM</t>
  </si>
  <si>
    <t>Risk-Free</t>
  </si>
  <si>
    <t>Market Risk</t>
  </si>
  <si>
    <r>
      <t xml:space="preserve">Company </t>
    </r>
    <r>
      <rPr>
        <sz val="8"/>
        <rFont val="Calibri"/>
        <family val="2"/>
      </rPr>
      <t>β</t>
    </r>
  </si>
  <si>
    <t>Capital Assets Pricing Model</t>
  </si>
  <si>
    <r>
      <t xml:space="preserve">Cost of Equity = </t>
    </r>
    <r>
      <rPr>
        <i/>
        <sz val="8"/>
        <color theme="1"/>
        <rFont val="Arial"/>
        <family val="2"/>
      </rPr>
      <t>Rf + β(Rm - Rf)</t>
    </r>
  </si>
  <si>
    <t>Market Cap</t>
  </si>
  <si>
    <t>Debt</t>
  </si>
  <si>
    <t>Amounts</t>
  </si>
  <si>
    <t>Cost of Financing</t>
  </si>
  <si>
    <t>Equity</t>
  </si>
  <si>
    <t>WACC=</t>
  </si>
  <si>
    <t>Total WACC=</t>
  </si>
  <si>
    <t>Terminal</t>
  </si>
  <si>
    <t>Value</t>
  </si>
  <si>
    <t>Cash Flow</t>
  </si>
  <si>
    <t>Present Value of Cash Flow</t>
  </si>
  <si>
    <t>Enterprise Value of Company based on DCF</t>
  </si>
  <si>
    <t>Company Structure</t>
  </si>
  <si>
    <t>FCF</t>
  </si>
  <si>
    <t>WACC</t>
  </si>
  <si>
    <t>Jersey Sales</t>
  </si>
  <si>
    <t>http://www.foxsports.com/nba/story/nba-salary-cap-2016-17-94-million-increase-of-34-percent-061816</t>
  </si>
  <si>
    <t>Change in Probability per Series</t>
  </si>
  <si>
    <t>New Orlean Hornets</t>
  </si>
  <si>
    <t>Revenue Per Game</t>
  </si>
  <si>
    <t>2017 and 2018</t>
  </si>
  <si>
    <t>Expense</t>
  </si>
  <si>
    <t>Games</t>
  </si>
  <si>
    <t>Cost/Game</t>
  </si>
  <si>
    <t>Revenue/Game</t>
  </si>
  <si>
    <t>Cost/Revenue</t>
  </si>
  <si>
    <t>Shareholders Equity</t>
  </si>
  <si>
    <t xml:space="preserve"> - </t>
  </si>
  <si>
    <t>Chicago Bulls Return</t>
  </si>
  <si>
    <t>Bulls - Market</t>
  </si>
  <si>
    <t>Bulls Delta Attednace</t>
  </si>
  <si>
    <t>http://www.sponsorship.com/iegsr/2015/09/28/Sponsorship-Spending-On-The-NBA-Totals-$739-Millio.aspx</t>
  </si>
  <si>
    <t>Teams</t>
  </si>
  <si>
    <t>Sponsorship Average</t>
  </si>
  <si>
    <t>Lowest Value</t>
  </si>
  <si>
    <t>High/Average Multiple</t>
  </si>
  <si>
    <t>Bulls Sponsorship Estimate 2015</t>
  </si>
  <si>
    <t>Bulls Return 10 Year</t>
  </si>
  <si>
    <t>Bulls Sponsorship Estimate 2017</t>
  </si>
  <si>
    <t>Bulls Sponsorship Estimate 2018</t>
  </si>
  <si>
    <t>Wade Sponsorship Retention/Increase 2017</t>
  </si>
  <si>
    <t>Wade Sponsorship Retention/Increase 2018</t>
  </si>
  <si>
    <t>Sponsorship:</t>
  </si>
  <si>
    <t>Sponsorship Retention</t>
  </si>
  <si>
    <t>Sponsorships</t>
  </si>
  <si>
    <t>Attendance Financial</t>
  </si>
  <si>
    <t>Contract</t>
  </si>
  <si>
    <t>Playoff</t>
  </si>
  <si>
    <t>Attendance Forecast</t>
  </si>
  <si>
    <t>http://www.sportsbusinessdaily.com/Journal/Issues/2012/01/23/Leagues-and-Governing-Bodies/NBA-revenue.aspx</t>
  </si>
  <si>
    <t>Lakers Revenue</t>
  </si>
  <si>
    <t>Bulls Revenue</t>
  </si>
  <si>
    <t>Lakers Contribution/Revenue</t>
  </si>
  <si>
    <t>Lakers Contribution</t>
  </si>
  <si>
    <t>Bulls Estimated Contribution</t>
  </si>
  <si>
    <t>FCI Estimates</t>
  </si>
  <si>
    <t>Dwayne Wade</t>
  </si>
  <si>
    <t>Age</t>
  </si>
  <si>
    <t>Position</t>
  </si>
  <si>
    <t>Old Team</t>
  </si>
  <si>
    <t>Team Revenue Year 1</t>
  </si>
  <si>
    <t>Team Revenue Year 2</t>
  </si>
  <si>
    <t>Team Income Year 1</t>
  </si>
  <si>
    <t>Team Income Year 2</t>
  </si>
  <si>
    <t>Team Value Year 1</t>
  </si>
  <si>
    <t>Team Value Year 2</t>
  </si>
  <si>
    <t>Team Revenue Before Deal</t>
  </si>
  <si>
    <t>Team Income Before Deal</t>
  </si>
  <si>
    <t>Team Value Before Deal</t>
  </si>
  <si>
    <t>Market Revenue Before Deal</t>
  </si>
  <si>
    <t>Market Revenue Year 1</t>
  </si>
  <si>
    <t>Market Revenue Year 2</t>
  </si>
  <si>
    <t>Market Income Before Deal</t>
  </si>
  <si>
    <t>Market Income Year 1</t>
  </si>
  <si>
    <t>Market Income Year 2</t>
  </si>
  <si>
    <t>Market Value Before Deal</t>
  </si>
  <si>
    <t>Market Value Year 1</t>
  </si>
  <si>
    <t>Market Value Year 2</t>
  </si>
  <si>
    <t>Team Revenue Change Year 1</t>
  </si>
  <si>
    <t>Team Revenue Change Year 2</t>
  </si>
  <si>
    <t>Team Income Change Year 1</t>
  </si>
  <si>
    <t>Team Income Change Year 2</t>
  </si>
  <si>
    <t>Team Value Change Year 1</t>
  </si>
  <si>
    <t>Team Value Change Year 2</t>
  </si>
  <si>
    <t>Market Revenue Change Year 1</t>
  </si>
  <si>
    <t>Market Revenue Change Year 2</t>
  </si>
  <si>
    <t>Market Income Change Year 1</t>
  </si>
  <si>
    <t>Market Income Change Year 2</t>
  </si>
  <si>
    <t>Market Value Change Year 1</t>
  </si>
  <si>
    <t>Market Value Change Year 2</t>
  </si>
  <si>
    <t>SG</t>
  </si>
  <si>
    <t>Heat</t>
  </si>
  <si>
    <t>Deal Length</t>
  </si>
  <si>
    <t>WS Before Trade</t>
  </si>
  <si>
    <t>Scottie Pippen</t>
  </si>
  <si>
    <t>Paul Pierce</t>
  </si>
  <si>
    <t>New Team Y2</t>
  </si>
  <si>
    <t>New Team Y1</t>
  </si>
  <si>
    <t>Celtics</t>
  </si>
  <si>
    <t>Year Traded/Free Agent Y1</t>
  </si>
  <si>
    <t>Year Traded/Free Agent Y2</t>
  </si>
  <si>
    <t>WS After Trade Y1</t>
  </si>
  <si>
    <t>WS After Trade Y2</t>
  </si>
  <si>
    <t>SF/SG</t>
  </si>
  <si>
    <t>Nets</t>
  </si>
  <si>
    <t>Wizards</t>
  </si>
  <si>
    <t>2016-2017</t>
  </si>
  <si>
    <t>2017-2018</t>
  </si>
  <si>
    <t>2013-2014</t>
  </si>
  <si>
    <t>2014-2015</t>
  </si>
  <si>
    <t>SF</t>
  </si>
  <si>
    <t>1999-2000</t>
  </si>
  <si>
    <t>2000-2001</t>
  </si>
  <si>
    <t>SG/SF</t>
  </si>
  <si>
    <t>Suns</t>
  </si>
  <si>
    <t>2011-2012</t>
  </si>
  <si>
    <t>2012-2013</t>
  </si>
  <si>
    <t>Year Before Deal</t>
  </si>
  <si>
    <t>2015-2016</t>
  </si>
  <si>
    <t>2010-2011</t>
  </si>
  <si>
    <t>1998-1999</t>
  </si>
  <si>
    <t>http://www.forbes.com/sites/christinasettimi/2014/01/22/the-nbas-richest-local-television-deals/#2fea21c0a46c</t>
  </si>
  <si>
    <t>Bulls Revenue 2014-2015</t>
  </si>
  <si>
    <t>Average Revenue</t>
  </si>
  <si>
    <t>NBA TV Deals 2012-2013</t>
  </si>
  <si>
    <t>TV Deal Average</t>
  </si>
  <si>
    <t>Lowest Revenue</t>
  </si>
  <si>
    <t>Bulls TV Deal Estimate 2013</t>
  </si>
  <si>
    <t>Bulls TV Deal Estimate 2017</t>
  </si>
  <si>
    <t>Bulls TV Deal Estimate 2018</t>
  </si>
  <si>
    <t>TV Deal</t>
  </si>
  <si>
    <t>Regional TV Deal:</t>
  </si>
  <si>
    <t>RANK</t>
  </si>
  <si>
    <t>VALUE</t>
  </si>
  <si>
    <r>
      <t>($MIL)</t>
    </r>
    <r>
      <rPr>
        <vertAlign val="superscript"/>
        <sz val="7.5"/>
        <rFont val="Verdana"/>
        <family val="2"/>
      </rPr>
      <t>1</t>
    </r>
  </si>
  <si>
    <t>NEW YORK KNICKS</t>
  </si>
  <si>
    <t>CHICAGO BULLS</t>
  </si>
  <si>
    <t>LOS ANGELES LAKERS</t>
  </si>
  <si>
    <t>PORTLAND TRAIL BLAZERS</t>
  </si>
  <si>
    <t>PHOENIX SUNS</t>
  </si>
  <si>
    <t>PHILADELPHIA 76ERS</t>
  </si>
  <si>
    <t>DETROIT PISTONS</t>
  </si>
  <si>
    <t>UTAH JAZZ</t>
  </si>
  <si>
    <t>WASHINGTON WIZARDS</t>
  </si>
  <si>
    <t>BOSTON CELTICS</t>
  </si>
  <si>
    <t>SEATTLE SUPERSONICS</t>
  </si>
  <si>
    <t>INDIANA PACERS</t>
  </si>
  <si>
    <t>CLEVELAND CAVALIERS</t>
  </si>
  <si>
    <t>SAN ANTONIO SPURS</t>
  </si>
  <si>
    <t>HOUSTON ROCKETS</t>
  </si>
  <si>
    <t>NEW JERSEY NETS</t>
  </si>
  <si>
    <t>MIAMI HEAT</t>
  </si>
  <si>
    <t>ORLANDO MAGIC</t>
  </si>
  <si>
    <t>SACRAMENTO KINGS</t>
  </si>
  <si>
    <t>ATLANTA HAWKS</t>
  </si>
  <si>
    <t>MINNESOTA TIMBERWOLVES</t>
  </si>
  <si>
    <t>DALLAS MAVERICKS</t>
  </si>
  <si>
    <t>GOLDEN STATE WARRIORS</t>
  </si>
  <si>
    <t>TORONTO RAPTORS</t>
  </si>
  <si>
    <t>CHARLOTTE HORNETS</t>
  </si>
  <si>
    <t>VANCOUVER GRIZZLIES</t>
  </si>
  <si>
    <r>
      <t>DENVER NUGGETS</t>
    </r>
    <r>
      <rPr>
        <vertAlign val="superscript"/>
        <sz val="7.5"/>
        <rFont val="Verdana"/>
        <family val="2"/>
      </rPr>
      <t>3</t>
    </r>
  </si>
  <si>
    <t>MILWAUKEE BUCKS</t>
  </si>
  <si>
    <t>LOS ANGELES CLIPPERS</t>
  </si>
  <si>
    <t>Forbes NBA Valuation 1999.  Source:  http://www.forbes.com</t>
  </si>
  <si>
    <t>CURRENT</t>
  </si>
  <si>
    <t>ONE-YEAR</t>
  </si>
  <si>
    <t>REVENUES</t>
  </si>
  <si>
    <t>OPERATING</t>
  </si>
  <si>
    <t>DEBT/</t>
  </si>
  <si>
    <t>PRINCIPAL OWNER(S)</t>
  </si>
  <si>
    <t>CHANGE</t>
  </si>
  <si>
    <t>($MIL)</t>
  </si>
  <si>
    <t>INCOME</t>
  </si>
  <si>
    <r>
      <t>VALUE</t>
    </r>
    <r>
      <rPr>
        <vertAlign val="superscript"/>
        <sz val="7.5"/>
        <rFont val="Verdana"/>
        <family val="2"/>
      </rPr>
      <t>2</t>
    </r>
  </si>
  <si>
    <t>IN VALUE</t>
  </si>
  <si>
    <t>Cablevision Systems</t>
  </si>
  <si>
    <t>Jerry Reinsdorf</t>
  </si>
  <si>
    <t>Jerry H Buss</t>
  </si>
  <si>
    <t>Paul Allen</t>
  </si>
  <si>
    <t>Jerry Colangelo</t>
  </si>
  <si>
    <t>Comcast</t>
  </si>
  <si>
    <t>William Davidson</t>
  </si>
  <si>
    <t>Larry Miller</t>
  </si>
  <si>
    <t>*The 2004 report lists Jazz at $158 million.</t>
  </si>
  <si>
    <t>Abe Pollin</t>
  </si>
  <si>
    <t>publicly traded partnership</t>
  </si>
  <si>
    <t>Ackerley Group</t>
  </si>
  <si>
    <t>Herbert Simon, Melvin Simon</t>
  </si>
  <si>
    <t>George Gund, Gordon Gund</t>
  </si>
  <si>
    <t>Peter Holt</t>
  </si>
  <si>
    <t>Leslie Alexander</t>
  </si>
  <si>
    <t>Lewis Katz</t>
  </si>
  <si>
    <t>Micky Arison</t>
  </si>
  <si>
    <t>Richard DeVos</t>
  </si>
  <si>
    <t>Gavin Maloof, Joseph Maloof</t>
  </si>
  <si>
    <t>Time Warner</t>
  </si>
  <si>
    <t>Glen Taylor</t>
  </si>
  <si>
    <t>Ross Perot Jr</t>
  </si>
  <si>
    <t>Christopher Cohan</t>
  </si>
  <si>
    <t>Steve Stavro</t>
  </si>
  <si>
    <t>George Shinn</t>
  </si>
  <si>
    <t>John McCaw Jr</t>
  </si>
  <si>
    <t>Ascent Entertainment Group</t>
  </si>
  <si>
    <t>Herbert H Kohl</t>
  </si>
  <si>
    <t>Donald T Sterling</t>
  </si>
  <si>
    <r>
      <t xml:space="preserve">Revenues and operating income are for 1998-99 season. </t>
    </r>
    <r>
      <rPr>
        <vertAlign val="superscript"/>
        <sz val="7.5"/>
        <rFont val="Verdana"/>
        <family val="2"/>
      </rPr>
      <t>1</t>
    </r>
    <r>
      <rPr>
        <sz val="7.5"/>
        <rFont val="Verdana"/>
        <family val="2"/>
      </rPr>
      <t xml:space="preserve">Value of team, without deduction for debt (other than arena debt). </t>
    </r>
    <r>
      <rPr>
        <vertAlign val="superscript"/>
        <sz val="7.5"/>
        <rFont val="Verdana"/>
        <family val="2"/>
      </rPr>
      <t>2</t>
    </r>
    <r>
      <rPr>
        <sz val="7.5"/>
        <rFont val="Verdana"/>
        <family val="2"/>
      </rPr>
      <t xml:space="preserve">Includes arena debt. </t>
    </r>
    <r>
      <rPr>
        <vertAlign val="superscript"/>
        <sz val="7.5"/>
        <rFont val="Verdana"/>
        <family val="2"/>
      </rPr>
      <t>3</t>
    </r>
    <r>
      <rPr>
        <sz val="7.5"/>
        <rFont val="Verdana"/>
        <family val="2"/>
      </rPr>
      <t>Sale to Donald Sturm pending.</t>
    </r>
  </si>
  <si>
    <t>Forbes NBA Team Valuations 2000.  Source:  http://www.forbes.com</t>
  </si>
  <si>
    <t>team</t>
  </si>
  <si>
    <r>
      <t>current value ($mil)</t>
    </r>
    <r>
      <rPr>
        <vertAlign val="superscript"/>
        <sz val="12"/>
        <color indexed="8"/>
        <rFont val="Times New Roman"/>
        <family val="1"/>
      </rPr>
      <t>1</t>
    </r>
  </si>
  <si>
    <t>one year change in value (%)</t>
  </si>
  <si>
    <r>
      <t>debt value (%)</t>
    </r>
    <r>
      <rPr>
        <vertAlign val="superscript"/>
        <sz val="12"/>
        <color indexed="8"/>
        <rFont val="Times New Roman"/>
        <family val="1"/>
      </rPr>
      <t>2</t>
    </r>
  </si>
  <si>
    <t>revenue ($mil)</t>
  </si>
  <si>
    <r>
      <t>operating income ($mil)</t>
    </r>
    <r>
      <rPr>
        <vertAlign val="superscript"/>
        <sz val="12"/>
        <color indexed="8"/>
        <rFont val="Times New Roman"/>
        <family val="1"/>
      </rPr>
      <t>3</t>
    </r>
  </si>
  <si>
    <t>principal owner(s)</t>
  </si>
  <si>
    <t>Forbes Rich List/member</t>
  </si>
  <si>
    <t>net worth ($mil)</t>
  </si>
  <si>
    <t>player expenses ($mil)</t>
  </si>
  <si>
    <t>gate receipts ($mil)</t>
  </si>
  <si>
    <t>comments</t>
  </si>
  <si>
    <t>1998 value ($mil)</t>
  </si>
  <si>
    <t>1999 value ($mil)</t>
  </si>
  <si>
    <t>arena naming rights sponsor</t>
  </si>
  <si>
    <t>na</t>
  </si>
  <si>
    <t>Team shares old, renovated arena with Rangers.</t>
  </si>
  <si>
    <t>n/a</t>
  </si>
  <si>
    <t>no</t>
  </si>
  <si>
    <t>Anschutz owns majority of L.A. Kings, 30% of Lakers and controls arena.</t>
  </si>
  <si>
    <t>Staples</t>
  </si>
  <si>
    <t>Black Hawks and Bulls each own half of United Center.</t>
  </si>
  <si>
    <t>UAL</t>
  </si>
  <si>
    <t>yes</t>
  </si>
  <si>
    <t>Team owns Rose Garden. Debt not a problem for billionaire Paul Allen.</t>
  </si>
  <si>
    <t>Team is marketed well and controls lease to America West Arena.</t>
  </si>
  <si>
    <t>America West</t>
  </si>
  <si>
    <t>Team and its modern arena, the Palace, are expremely well marketed.</t>
  </si>
  <si>
    <t>Team shares new First Union Center with Flyers.</t>
  </si>
  <si>
    <t>First Union</t>
  </si>
  <si>
    <t>no/no</t>
  </si>
  <si>
    <t>Team has sweatheart lease at new Conseco Fieldhouse.</t>
  </si>
  <si>
    <t>Conseco</t>
  </si>
  <si>
    <t>Team owns Delta Center, its arena.</t>
  </si>
  <si>
    <t>Delta Air Lines</t>
  </si>
  <si>
    <t>Sweatheart lease at new Ameircan Airlines Arena, but facility has lots of debt.</t>
  </si>
  <si>
    <t>AMR</t>
  </si>
  <si>
    <t>Celtics pay no rent, but derive no concession revenue from FleetCenter.</t>
  </si>
  <si>
    <t>FleetBoston Financial</t>
  </si>
  <si>
    <t>Received badely needed capital infusion from Ted Leonsis in 1999.</t>
  </si>
  <si>
    <t>MCI WorldCom</t>
  </si>
  <si>
    <t>Taxpayers approved plan to buld $175 mil arena for Rockets in Nov. 2000.</t>
  </si>
  <si>
    <t>Compaq Computer</t>
  </si>
  <si>
    <t>Team expected to have new arena for 2002-03 season.</t>
  </si>
  <si>
    <t>Key Arena had $110 million worth of rennovations in 1995.</t>
  </si>
  <si>
    <t>KeyCorp</t>
  </si>
  <si>
    <t>yes /yes (entire family)</t>
  </si>
  <si>
    <t>Team has excellent lease at Gund Arena.</t>
  </si>
  <si>
    <t>Time Warner4</t>
  </si>
  <si>
    <t>Strong sponsorship backing in new arena, but fan support questionable.</t>
  </si>
  <si>
    <t>Philips Electronics</t>
  </si>
  <si>
    <t>YankeeNets</t>
  </si>
  <si>
    <t>Team getting close to completing financing and plans for new arena in Newark.</t>
  </si>
  <si>
    <t>Continental Airlines</t>
  </si>
  <si>
    <t>Team currently rennovating arena and building new practice facility.</t>
  </si>
  <si>
    <t>ARCO (BP Amoco)</t>
  </si>
  <si>
    <t>Stanley Kroenke</t>
  </si>
  <si>
    <t>Owner of Avalanche and Nuggets owns Pepsi Center.</t>
  </si>
  <si>
    <t>PepsiCo</t>
  </si>
  <si>
    <t>Decent lease in decent arena.</t>
  </si>
  <si>
    <t>Team has decent lease at rennovated arena.</t>
  </si>
  <si>
    <t>Mark Cuban</t>
  </si>
  <si>
    <t>Moving into highly leveraged arena with Stars in 2001 season.</t>
  </si>
  <si>
    <t>Decent lease in antiquatedarena.</t>
  </si>
  <si>
    <t>TD Waterhouse</t>
  </si>
  <si>
    <t>Second class tennant in Staples Center, which is controlled by Anschutz.</t>
  </si>
  <si>
    <t>Entity that owns Maple Leafs, Raptors and their arena is heavily leveraged.</t>
  </si>
  <si>
    <t>Air Canada</t>
  </si>
  <si>
    <t>George Shinn, Ray Wooldridge</t>
  </si>
  <si>
    <t>Team has a bad lease at an old arena. Trouble getting financing for new arena.</t>
  </si>
  <si>
    <t>Under-capitalized team has decent lease in old arena.</t>
  </si>
  <si>
    <t>Vancouver Grizzlies</t>
  </si>
  <si>
    <t>Michael Heisley</t>
  </si>
  <si>
    <t>Heisley bought team from McCaw in 2000. Fan support very weak.</t>
  </si>
  <si>
    <t>General Motors</t>
  </si>
  <si>
    <t>League Averages</t>
  </si>
  <si>
    <t>Revenues and operating income are for 1999-00 season.</t>
  </si>
  <si>
    <r>
      <t>1</t>
    </r>
    <r>
      <rPr>
        <sz val="12"/>
        <color indexed="8"/>
        <rFont val="Times New Roman"/>
        <family val="1"/>
      </rPr>
      <t xml:space="preserve">Value of team, without deduction for debt (other than arena debt). </t>
    </r>
    <r>
      <rPr>
        <vertAlign val="superscript"/>
        <sz val="12"/>
        <color indexed="8"/>
        <rFont val="Times New Roman"/>
        <family val="1"/>
      </rPr>
      <t>2</t>
    </r>
    <r>
      <rPr>
        <sz val="12"/>
        <color indexed="8"/>
        <rFont val="Times New Roman"/>
        <family val="1"/>
      </rPr>
      <t xml:space="preserve">Includes arena debt. </t>
    </r>
    <r>
      <rPr>
        <vertAlign val="superscript"/>
        <sz val="12"/>
        <color indexed="8"/>
        <rFont val="Times New Roman"/>
        <family val="1"/>
      </rPr>
      <t>3</t>
    </r>
    <r>
      <rPr>
        <sz val="12"/>
        <color indexed="8"/>
        <rFont val="Times New Roman"/>
        <family val="1"/>
      </rPr>
      <t xml:space="preserve">Earnings before interest, taxes and depreciation. </t>
    </r>
    <r>
      <rPr>
        <vertAlign val="superscript"/>
        <sz val="12"/>
        <color indexed="8"/>
        <rFont val="Times New Roman"/>
        <family val="1"/>
      </rPr>
      <t>4</t>
    </r>
    <r>
      <rPr>
        <sz val="12"/>
        <color indexed="8"/>
        <rFont val="Times New Roman"/>
        <family val="1"/>
      </rPr>
      <t>Acquisition by AOL pending.</t>
    </r>
  </si>
  <si>
    <t>NBA Team Values 2001, listed as February 4, 2002.  Gleaned September 29, 2004.</t>
  </si>
  <si>
    <t>----------Value----------</t>
  </si>
  <si>
    <t>Franchise</t>
  </si>
  <si>
    <t>Current(1)</t>
  </si>
  <si>
    <t>1-Year</t>
  </si>
  <si>
    <t>Annualized</t>
  </si>
  <si>
    <t>Debt/</t>
  </si>
  <si>
    <t>Revenues</t>
  </si>
  <si>
    <t>Operating</t>
  </si>
  <si>
    <t>Player</t>
  </si>
  <si>
    <t>($mil)</t>
  </si>
  <si>
    <t>change</t>
  </si>
  <si>
    <t>change(2)</t>
  </si>
  <si>
    <t>Value(3)</t>
  </si>
  <si>
    <t>income(4)</t>
  </si>
  <si>
    <t>Expenses</t>
  </si>
  <si>
    <t>*The 2004 report lists the Lakers at $390million.</t>
  </si>
  <si>
    <t xml:space="preserve">Indiana Pacers </t>
  </si>
  <si>
    <t>Memphis Grizzlies (5)</t>
  </si>
  <si>
    <t xml:space="preserve">Revenues and operating income are for 00-01 season. </t>
  </si>
  <si>
    <t xml:space="preserve">(1) Value of team based, without deduction for debt (other than stadium debt). </t>
  </si>
  <si>
    <t xml:space="preserve">(2) Current team value compared with most recent transaction price. </t>
  </si>
  <si>
    <t xml:space="preserve">(3) Includes arena debt. </t>
  </si>
  <si>
    <t xml:space="preserve">(4) Earnings before interest, taxes and depreciation. </t>
  </si>
  <si>
    <t>(5) Formerly Vancouver Grizzlies. NA: Not applicable.</t>
  </si>
  <si>
    <t>NBA Team Valuations 2002</t>
  </si>
  <si>
    <t>Forbes.com, 02.17.03</t>
  </si>
  <si>
    <t>-----Value-----</t>
  </si>
  <si>
    <t>Current*</t>
  </si>
  <si>
    <t>Income***</t>
  </si>
  <si>
    <t>change**</t>
  </si>
  <si>
    <t>DENVER NUGGETS</t>
  </si>
  <si>
    <t>MEMPHIS GRIZZLIES</t>
  </si>
  <si>
    <t>NEW ORLEANS HORNETS</t>
  </si>
  <si>
    <t xml:space="preserve">*Value of team based on current arena deal (unless new arena is pending) without deduction for debt (other than arena debt). </t>
  </si>
  <si>
    <t xml:space="preserve">**Current team value compared with latest transaction price. </t>
  </si>
  <si>
    <t xml:space="preserve">***Earnings before interest, taxes and depreciation, 2001-02 season. </t>
  </si>
  <si>
    <t>NA: Not applicable; current ownership in place less than three years.</t>
  </si>
  <si>
    <t>Notes</t>
  </si>
  <si>
    <t>Not comparable due to league profitability differences</t>
  </si>
  <si>
    <t>Not comparable because Nets consistently operate at a loss</t>
  </si>
  <si>
    <t>Not comparable due to nba lockout 2011-2012 season</t>
  </si>
  <si>
    <t>NBA Sponsorship 2015</t>
  </si>
  <si>
    <t>Note: Assume opportunity cost without Wade is average SG</t>
  </si>
  <si>
    <t>Without Wade</t>
  </si>
  <si>
    <t>% of fans at arena that will buy a jersey</t>
  </si>
  <si>
    <t>% decline of jersey sales in arena YY</t>
  </si>
  <si>
    <t>Jersey Price</t>
  </si>
  <si>
    <t>Low End</t>
  </si>
  <si>
    <t>High End</t>
  </si>
  <si>
    <t>Comparables</t>
  </si>
  <si>
    <t>Fan Cost Index Data</t>
  </si>
  <si>
    <t>*CHICAGO</t>
  </si>
  <si>
    <t>Source: http://espn.go.com/nba/attendance</t>
  </si>
  <si>
    <t>Forecasts</t>
  </si>
  <si>
    <t>Data</t>
  </si>
  <si>
    <t>2016 SG Salary</t>
  </si>
  <si>
    <t>Sources</t>
  </si>
  <si>
    <t>Players per Team</t>
  </si>
  <si>
    <t>Salary Increase per Team</t>
  </si>
  <si>
    <t>Sources:</t>
  </si>
  <si>
    <t>Source</t>
  </si>
  <si>
    <t>www.basketball-reference.com</t>
  </si>
  <si>
    <t>Revenue Sharing Pool</t>
  </si>
  <si>
    <t>Assume AA rating of market cap less than 5 billion</t>
  </si>
  <si>
    <t>Year</t>
  </si>
  <si>
    <t>Playoff Home Game Revenue</t>
  </si>
  <si>
    <t xml:space="preserve">Finals Revenue Increase </t>
  </si>
  <si>
    <t>Games Played</t>
  </si>
  <si>
    <t>Playoff Financials</t>
  </si>
  <si>
    <t>NJ Nets</t>
  </si>
  <si>
    <t>Multiple</t>
  </si>
  <si>
    <t>FCI Hornets</t>
  </si>
  <si>
    <t>FCI Bulls</t>
  </si>
  <si>
    <t>Revenue/FCI Horents</t>
  </si>
  <si>
    <t>Hornets Arena Expenses</t>
  </si>
  <si>
    <t>http://www.basketball-reference.com/players/w/wadedw01.html</t>
  </si>
  <si>
    <t>Semi Conference</t>
  </si>
  <si>
    <t>Runner Up</t>
  </si>
  <si>
    <t>Winner</t>
  </si>
  <si>
    <t>Semi Conference Probability Change</t>
  </si>
  <si>
    <t>% Decrease</t>
  </si>
  <si>
    <t>http://www.forbes.com/sites/mikeozanian/2016/06/19/nba-finals-500-million-swing-hinges-on-game-seven/#4b3bcb673cdf</t>
  </si>
  <si>
    <t>Number of Home Playoff Games</t>
  </si>
  <si>
    <t>Sponsorship</t>
  </si>
  <si>
    <t>Salary Cap Increase from 2016-2017</t>
  </si>
  <si>
    <t>Salary Cap Increase from 2017-2018</t>
  </si>
  <si>
    <t>http://espn.go.com/nba/story/_/id/16859143/nba-salary-cap-projection-2017-18-season-lower-expected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</si>
</sst>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quot;$&quot;* #,##0_-;\-&quot;$&quot;* #,##0_-;_-&quot;$&quot;* &quot;-&quot;??_-;_-@_-"/>
    <numFmt numFmtId="167" formatCode="&quot;$&quot;#,##0.00"/>
    <numFmt numFmtId="168" formatCode="_-[$$-409]* #,##0.00_ ;_-[$$-409]* \-#,##0.00\ ;_-[$$-409]* &quot;-&quot;??_ ;_-@_ "/>
    <numFmt numFmtId="169" formatCode="_(* #,##0.0000_);_(* \(#,##0.0000\);_(* &quot;-&quot;??_);_(@_)"/>
    <numFmt numFmtId="170" formatCode="0.0000"/>
    <numFmt numFmtId="171" formatCode="#,##0.0_);\(#,##0.0\)"/>
    <numFmt numFmtId="172" formatCode="0.0%"/>
    <numFmt numFmtId="173" formatCode="&quot;$&quot;#,##0.00;[Red]&quot;$&quot;#,##0.00"/>
    <numFmt numFmtId="174" formatCode="0.000"/>
    <numFmt numFmtId="175" formatCode="_(* #,##0_);_(* \(#,##0\);_(* &quot;-&quot;??_);_(@_)"/>
  </numFmts>
  <fonts count="62">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8"/>
      <color rgb="FFFFFFFF"/>
      <name val="Arial"/>
      <family val="2"/>
    </font>
    <font>
      <b/>
      <sz val="7"/>
      <color rgb="FF444444"/>
      <name val="Verdana"/>
      <family val="2"/>
    </font>
    <font>
      <sz val="7"/>
      <color rgb="FF000000"/>
      <name val="Verdana"/>
      <family val="2"/>
    </font>
    <font>
      <b/>
      <sz val="7"/>
      <color rgb="FF000000"/>
      <name val="Verdana"/>
      <family val="2"/>
    </font>
    <font>
      <b/>
      <sz val="20"/>
      <color rgb="FFFF0000"/>
      <name val="Calibri"/>
      <family val="2"/>
      <scheme val="minor"/>
    </font>
    <font>
      <sz val="10"/>
      <color rgb="FF231F20"/>
      <name val="Arial"/>
      <family val="2"/>
    </font>
    <font>
      <sz val="10"/>
      <name val="Arial"/>
      <family val="2"/>
    </font>
    <font>
      <sz val="10"/>
      <color indexed="8"/>
      <name val="Arial"/>
      <family val="2"/>
    </font>
    <font>
      <sz val="12"/>
      <color rgb="FFFF0000"/>
      <name val="Calibri"/>
      <family val="2"/>
      <scheme val="minor"/>
    </font>
    <font>
      <sz val="12"/>
      <color rgb="FF000000"/>
      <name val="Calibri"/>
      <family val="2"/>
      <scheme val="minor"/>
    </font>
    <font>
      <u/>
      <sz val="11"/>
      <color theme="10"/>
      <name val="Calibri"/>
      <family val="2"/>
    </font>
    <font>
      <u/>
      <sz val="10"/>
      <color indexed="12"/>
      <name val="Arial"/>
      <family val="2"/>
    </font>
    <font>
      <sz val="10"/>
      <name val="Verdana"/>
      <family val="2"/>
    </font>
    <font>
      <i/>
      <sz val="12"/>
      <color theme="1"/>
      <name val="Calibri"/>
      <family val="2"/>
      <scheme val="minor"/>
    </font>
    <font>
      <b/>
      <sz val="12"/>
      <color rgb="FF000000"/>
      <name val="Helvetica Neue"/>
      <family val="2"/>
    </font>
    <font>
      <sz val="24"/>
      <color rgb="FFCC9900"/>
      <name val="Georgia"/>
      <family val="1"/>
    </font>
    <font>
      <sz val="16"/>
      <color rgb="FF3C3C3C"/>
      <name val="Georgia"/>
      <family val="1"/>
    </font>
    <font>
      <sz val="10"/>
      <color rgb="FF999999"/>
      <name val="Verdana"/>
      <family val="2"/>
    </font>
    <font>
      <b/>
      <sz val="11"/>
      <color rgb="FF000000"/>
      <name val="Verdana"/>
      <family val="2"/>
    </font>
    <font>
      <b/>
      <sz val="11"/>
      <color rgb="FF0F2D5F"/>
      <name val="Verdana"/>
      <family val="2"/>
    </font>
    <font>
      <sz val="37"/>
      <color rgb="FF6D6D6D"/>
      <name val="Georgia"/>
      <family val="1"/>
    </font>
    <font>
      <sz val="13"/>
      <color rgb="FF3C3C3C"/>
      <name val="Georgia"/>
      <family val="1"/>
    </font>
    <font>
      <b/>
      <sz val="18"/>
      <color rgb="FF000000"/>
      <name val="Georgia"/>
      <family val="1"/>
    </font>
    <font>
      <sz val="11"/>
      <color theme="1"/>
      <name val="Arial"/>
      <family val="2"/>
    </font>
    <font>
      <vertAlign val="superscript"/>
      <sz val="11"/>
      <color theme="1"/>
      <name val="Calibri"/>
      <family val="2"/>
      <scheme val="minor"/>
    </font>
    <font>
      <i/>
      <sz val="11"/>
      <color theme="1"/>
      <name val="Calibri"/>
      <family val="2"/>
      <scheme val="minor"/>
    </font>
    <font>
      <b/>
      <sz val="11"/>
      <color indexed="63"/>
      <name val="Arial"/>
      <family val="2"/>
    </font>
    <font>
      <sz val="9"/>
      <color indexed="8"/>
      <name val="Arial"/>
      <family val="2"/>
    </font>
    <font>
      <i/>
      <sz val="8"/>
      <color indexed="8"/>
      <name val="Arial"/>
      <family val="2"/>
    </font>
    <font>
      <b/>
      <sz val="9"/>
      <color indexed="8"/>
      <name val="Arial"/>
      <family val="2"/>
    </font>
    <font>
      <u/>
      <sz val="10"/>
      <name val="Arial"/>
      <family val="2"/>
    </font>
    <font>
      <vertAlign val="superscript"/>
      <sz val="10"/>
      <name val="Arial"/>
      <family val="2"/>
    </font>
    <font>
      <b/>
      <sz val="13.5"/>
      <color indexed="8"/>
      <name val="Calibri"/>
      <family val="2"/>
    </font>
    <font>
      <b/>
      <sz val="11"/>
      <color indexed="8"/>
      <name val="Calibri"/>
      <family val="2"/>
    </font>
    <font>
      <vertAlign val="superscript"/>
      <sz val="11"/>
      <color indexed="8"/>
      <name val="Calibri"/>
      <family val="2"/>
    </font>
    <font>
      <u/>
      <sz val="12"/>
      <color theme="1"/>
      <name val="Calibri"/>
      <family val="2"/>
      <scheme val="minor"/>
    </font>
    <font>
      <b/>
      <u/>
      <sz val="8"/>
      <color theme="1"/>
      <name val="Arial"/>
      <family val="2"/>
    </font>
    <font>
      <sz val="8"/>
      <color theme="1"/>
      <name val="Arial"/>
      <family val="2"/>
    </font>
    <font>
      <b/>
      <u/>
      <sz val="10"/>
      <color theme="1"/>
      <name val="Arial"/>
      <family val="2"/>
    </font>
    <font>
      <b/>
      <sz val="8"/>
      <color theme="1"/>
      <name val="Arial"/>
      <family val="2"/>
    </font>
    <font>
      <sz val="8"/>
      <name val="Arial"/>
      <family val="2"/>
    </font>
    <font>
      <u/>
      <sz val="8"/>
      <color theme="1"/>
      <name val="Arial"/>
      <family val="2"/>
    </font>
    <font>
      <sz val="8"/>
      <name val="Calibri"/>
      <family val="2"/>
    </font>
    <font>
      <sz val="8"/>
      <color rgb="FF0000FF"/>
      <name val="Arial"/>
      <family val="2"/>
    </font>
    <font>
      <i/>
      <sz val="8"/>
      <color theme="1"/>
      <name val="Arial"/>
      <family val="2"/>
    </font>
    <font>
      <b/>
      <sz val="8"/>
      <name val="Arial"/>
      <family val="2"/>
    </font>
    <font>
      <u/>
      <sz val="12"/>
      <color rgb="FF000000"/>
      <name val="Calibri"/>
      <family val="2"/>
      <scheme val="minor"/>
    </font>
    <font>
      <sz val="7.5"/>
      <name val="Verdana"/>
      <family val="2"/>
    </font>
    <font>
      <vertAlign val="superscript"/>
      <sz val="7.5"/>
      <name val="Verdana"/>
      <family val="2"/>
    </font>
    <font>
      <sz val="12"/>
      <color indexed="8"/>
      <name val="Times New Roman"/>
      <family val="1"/>
    </font>
    <font>
      <vertAlign val="superscript"/>
      <sz val="12"/>
      <color indexed="8"/>
      <name val="Times New Roman"/>
      <family val="1"/>
    </font>
    <font>
      <sz val="8"/>
      <color theme="1"/>
      <name val="Calibri"/>
      <family val="2"/>
      <scheme val="minor"/>
    </font>
    <font>
      <u/>
      <sz val="12"/>
      <color theme="1"/>
      <name val="Calibri"/>
      <family val="2"/>
      <scheme val="minor"/>
    </font>
    <font>
      <sz val="12"/>
      <name val="Calibri"/>
      <family val="2"/>
      <scheme val="minor"/>
    </font>
    <font>
      <b/>
      <sz val="12"/>
      <color theme="1"/>
      <name val="Calibri"/>
      <family val="2"/>
      <scheme val="minor"/>
    </font>
  </fonts>
  <fills count="7">
    <fill>
      <patternFill patternType="none"/>
    </fill>
    <fill>
      <patternFill patternType="gray125"/>
    </fill>
    <fill>
      <patternFill patternType="solid">
        <fgColor rgb="FF754505"/>
        <bgColor indexed="64"/>
      </patternFill>
    </fill>
    <fill>
      <patternFill patternType="solid">
        <fgColor rgb="FFE8E8E8"/>
        <bgColor indexed="64"/>
      </patternFill>
    </fill>
    <fill>
      <patternFill patternType="solid">
        <fgColor rgb="FFFFFFFF"/>
        <bgColor indexed="64"/>
      </patternFill>
    </fill>
    <fill>
      <patternFill patternType="solid">
        <fgColor rgb="FFDDDDDD"/>
        <bgColor indexed="64"/>
      </patternFill>
    </fill>
    <fill>
      <patternFill patternType="solid">
        <fgColor rgb="FFF1F1F1"/>
        <bgColor indexed="64"/>
      </patternFill>
    </fill>
  </fills>
  <borders count="30">
    <border>
      <left/>
      <right/>
      <top/>
      <bottom/>
      <diagonal/>
    </border>
    <border>
      <left/>
      <right/>
      <top/>
      <bottom style="medium">
        <color rgb="FFC2C2C2"/>
      </bottom>
      <diagonal/>
    </border>
    <border>
      <left/>
      <right/>
      <top style="medium">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3" fillId="0" borderId="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3" fillId="0" borderId="0"/>
    <xf numFmtId="0" fontId="13" fillId="0" borderId="0"/>
    <xf numFmtId="165"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49">
    <xf numFmtId="0" fontId="0" fillId="0" borderId="0" xfId="0"/>
    <xf numFmtId="0" fontId="0" fillId="0" borderId="0" xfId="0" applyAlignment="1">
      <alignment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5" fillId="3" borderId="1" xfId="20" applyFill="1" applyBorder="1" applyAlignment="1">
      <alignment horizontal="right" vertical="center" wrapText="1"/>
    </xf>
    <xf numFmtId="0" fontId="9" fillId="4" borderId="0" xfId="0" applyFont="1" applyFill="1" applyAlignment="1">
      <alignment vertical="center" wrapText="1"/>
    </xf>
    <xf numFmtId="0" fontId="5" fillId="4" borderId="0" xfId="20" applyFill="1" applyAlignment="1">
      <alignment vertical="center" wrapText="1"/>
    </xf>
    <xf numFmtId="0" fontId="9" fillId="4" borderId="0" xfId="0" applyFont="1" applyFill="1" applyAlignment="1">
      <alignment horizontal="right" vertical="center" wrapText="1"/>
    </xf>
    <xf numFmtId="3" fontId="0" fillId="0" borderId="0" xfId="0" applyNumberFormat="1"/>
    <xf numFmtId="3" fontId="9" fillId="4" borderId="0" xfId="0" applyNumberFormat="1" applyFont="1" applyFill="1" applyAlignment="1">
      <alignment horizontal="right" vertical="center" wrapText="1"/>
    </xf>
    <xf numFmtId="3" fontId="10" fillId="5" borderId="0" xfId="0" applyNumberFormat="1" applyFont="1" applyFill="1" applyAlignment="1">
      <alignment horizontal="right" vertical="center" wrapText="1"/>
    </xf>
    <xf numFmtId="0" fontId="9" fillId="6" borderId="0" xfId="0" applyFont="1" applyFill="1" applyAlignment="1">
      <alignment vertical="center" wrapText="1"/>
    </xf>
    <xf numFmtId="0" fontId="5" fillId="6" borderId="0" xfId="20" applyFill="1" applyAlignment="1">
      <alignment vertical="center" wrapText="1"/>
    </xf>
    <xf numFmtId="0" fontId="9" fillId="6" borderId="0" xfId="0" applyFont="1" applyFill="1" applyAlignment="1">
      <alignment horizontal="right" vertical="center" wrapText="1"/>
    </xf>
    <xf numFmtId="3" fontId="9" fillId="6" borderId="0" xfId="0" applyNumberFormat="1" applyFont="1" applyFill="1" applyAlignment="1">
      <alignment horizontal="right" vertical="center" wrapText="1"/>
    </xf>
    <xf numFmtId="3" fontId="10" fillId="6" borderId="0" xfId="0" applyNumberFormat="1" applyFont="1" applyFill="1" applyAlignment="1">
      <alignment horizontal="right" vertical="center" wrapText="1"/>
    </xf>
    <xf numFmtId="0" fontId="5" fillId="0" borderId="0" xfId="20"/>
    <xf numFmtId="0" fontId="0" fillId="0" borderId="0" xfId="0" applyFill="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3" fillId="0" borderId="0" xfId="22"/>
    <xf numFmtId="8" fontId="0" fillId="0" borderId="0" xfId="0" applyNumberFormat="1" applyFill="1" applyAlignment="1">
      <alignment horizontal="right"/>
    </xf>
    <xf numFmtId="8" fontId="13" fillId="0" borderId="0" xfId="0" applyNumberFormat="1" applyFont="1" applyFill="1" applyBorder="1" applyAlignment="1" applyProtection="1">
      <alignment horizontal="right"/>
      <protection locked="0"/>
    </xf>
    <xf numFmtId="8" fontId="13" fillId="0" borderId="0" xfId="0" applyNumberFormat="1" applyFont="1" applyFill="1" applyBorder="1" applyAlignment="1">
      <alignment horizontal="right"/>
    </xf>
    <xf numFmtId="8" fontId="0" fillId="0" borderId="0" xfId="0" applyNumberFormat="1" applyFill="1" applyBorder="1" applyAlignment="1">
      <alignment horizontal="right"/>
    </xf>
    <xf numFmtId="8" fontId="0" fillId="0" borderId="0" xfId="0" applyNumberFormat="1"/>
    <xf numFmtId="167" fontId="12" fillId="0" borderId="0" xfId="0" applyNumberFormat="1" applyFont="1"/>
    <xf numFmtId="0" fontId="14" fillId="0" borderId="0" xfId="0" applyFont="1"/>
    <xf numFmtId="0" fontId="0" fillId="0" borderId="0" xfId="0" applyFont="1"/>
    <xf numFmtId="167" fontId="0" fillId="0" borderId="0" xfId="0" applyNumberFormat="1"/>
    <xf numFmtId="8" fontId="3" fillId="0" borderId="0" xfId="22" applyNumberFormat="1"/>
    <xf numFmtId="8" fontId="14" fillId="0" borderId="0" xfId="0" applyNumberFormat="1" applyFont="1"/>
    <xf numFmtId="8" fontId="0" fillId="0" borderId="0" xfId="0" applyNumberFormat="1" applyFont="1"/>
    <xf numFmtId="167" fontId="13" fillId="0" borderId="0" xfId="0" applyNumberFormat="1" applyFont="1"/>
    <xf numFmtId="0" fontId="0" fillId="0" borderId="0" xfId="0" applyAlignment="1"/>
    <xf numFmtId="43" fontId="0" fillId="0" borderId="0" xfId="21" applyFont="1"/>
    <xf numFmtId="165" fontId="0" fillId="0" borderId="0" xfId="9" applyFont="1"/>
    <xf numFmtId="0" fontId="0" fillId="0" borderId="0" xfId="0" applyAlignment="1">
      <alignment horizontal="center"/>
    </xf>
    <xf numFmtId="164" fontId="0" fillId="0" borderId="0" xfId="0" applyNumberFormat="1"/>
    <xf numFmtId="0" fontId="16" fillId="0" borderId="0" xfId="0" applyFont="1"/>
    <xf numFmtId="0" fontId="20" fillId="0" borderId="2" xfId="0" applyFont="1" applyFill="1" applyBorder="1" applyAlignment="1">
      <alignment horizontal="centerContinuous"/>
    </xf>
    <xf numFmtId="0" fontId="0" fillId="0" borderId="0" xfId="0" applyFill="1" applyBorder="1" applyAlignment="1"/>
    <xf numFmtId="0" fontId="0" fillId="0" borderId="3" xfId="0" applyFill="1" applyBorder="1" applyAlignment="1"/>
    <xf numFmtId="0" fontId="20" fillId="0" borderId="2" xfId="0" applyFont="1" applyFill="1" applyBorder="1" applyAlignment="1">
      <alignment horizontal="center"/>
    </xf>
    <xf numFmtId="165" fontId="0" fillId="0" borderId="0" xfId="48" applyFont="1"/>
    <xf numFmtId="43" fontId="0" fillId="0" borderId="0" xfId="42" applyFont="1"/>
    <xf numFmtId="165" fontId="0" fillId="0" borderId="0" xfId="0" applyNumberFormat="1"/>
    <xf numFmtId="0" fontId="21" fillId="0" borderId="0" xfId="0" applyFont="1"/>
    <xf numFmtId="0" fontId="22" fillId="0" borderId="0" xfId="0" applyFont="1"/>
    <xf numFmtId="0" fontId="23" fillId="0" borderId="0" xfId="0" applyFont="1"/>
    <xf numFmtId="9" fontId="23" fillId="0" borderId="0" xfId="0" applyNumberFormat="1" applyFont="1"/>
    <xf numFmtId="43" fontId="0" fillId="0" borderId="0" xfId="0" applyNumberFormat="1"/>
    <xf numFmtId="0" fontId="24" fillId="0" borderId="0" xfId="0" applyFont="1"/>
    <xf numFmtId="0" fontId="25" fillId="0" borderId="0" xfId="0" applyFont="1"/>
    <xf numFmtId="0" fontId="26" fillId="0" borderId="0" xfId="0" applyFont="1"/>
    <xf numFmtId="0" fontId="27" fillId="0" borderId="0" xfId="0" applyFont="1"/>
    <xf numFmtId="3" fontId="28" fillId="0" borderId="0" xfId="0" applyNumberFormat="1" applyFont="1"/>
    <xf numFmtId="0" fontId="28" fillId="0" borderId="0" xfId="0" applyFont="1"/>
    <xf numFmtId="0" fontId="29" fillId="0" borderId="0" xfId="0" applyFont="1"/>
    <xf numFmtId="0" fontId="19" fillId="0" borderId="0" xfId="45"/>
    <xf numFmtId="165" fontId="19" fillId="0" borderId="0" xfId="48" applyFont="1"/>
    <xf numFmtId="0" fontId="3" fillId="0" borderId="0" xfId="46" applyFont="1" applyFill="1" applyBorder="1" applyAlignment="1"/>
    <xf numFmtId="0" fontId="17" fillId="0" borderId="0" xfId="43" applyFont="1" applyFill="1" applyBorder="1" applyAlignment="1" applyProtection="1">
      <alignment horizontal="center"/>
    </xf>
    <xf numFmtId="0" fontId="3" fillId="0" borderId="0" xfId="46" applyFill="1" applyBorder="1" applyAlignment="1"/>
    <xf numFmtId="0" fontId="30" fillId="0" borderId="0" xfId="46" applyFont="1" applyFill="1" applyBorder="1" applyAlignment="1">
      <alignment horizontal="center" vertical="top"/>
    </xf>
    <xf numFmtId="0" fontId="17" fillId="0" borderId="0" xfId="43" applyFont="1" applyFill="1" applyBorder="1" applyAlignment="1" applyProtection="1">
      <alignment vertical="top"/>
    </xf>
    <xf numFmtId="0" fontId="30" fillId="0" borderId="0" xfId="46" applyFont="1" applyFill="1" applyBorder="1" applyAlignment="1">
      <alignment horizontal="right" vertical="top"/>
    </xf>
    <xf numFmtId="165" fontId="3" fillId="0" borderId="0" xfId="48" applyFont="1" applyFill="1" applyBorder="1" applyAlignment="1"/>
    <xf numFmtId="0" fontId="31" fillId="0" borderId="0" xfId="46" applyFont="1" applyFill="1" applyBorder="1" applyAlignment="1"/>
    <xf numFmtId="0" fontId="32" fillId="0" borderId="0" xfId="46" applyFont="1" applyFill="1" applyBorder="1" applyAlignment="1"/>
    <xf numFmtId="0" fontId="31" fillId="0" borderId="0" xfId="46" applyFont="1"/>
    <xf numFmtId="0" fontId="33" fillId="0" borderId="0" xfId="46" applyFont="1" applyFill="1" applyBorder="1" applyAlignment="1"/>
    <xf numFmtId="0" fontId="36" fillId="0" borderId="0" xfId="46" applyFont="1" applyFill="1" applyBorder="1" applyAlignment="1">
      <alignment horizontal="center"/>
    </xf>
    <xf numFmtId="0" fontId="17" fillId="0" borderId="0" xfId="43" applyFill="1" applyBorder="1" applyAlignment="1" applyProtection="1">
      <alignment horizontal="center"/>
    </xf>
    <xf numFmtId="0" fontId="34" fillId="0" borderId="0" xfId="46" applyFont="1" applyFill="1" applyBorder="1" applyAlignment="1">
      <alignment horizontal="center" vertical="top"/>
    </xf>
    <xf numFmtId="0" fontId="17" fillId="0" borderId="0" xfId="43" applyFill="1" applyBorder="1" applyAlignment="1" applyProtection="1">
      <alignment vertical="top"/>
    </xf>
    <xf numFmtId="0" fontId="34" fillId="0" borderId="0" xfId="46" applyFont="1" applyFill="1" applyBorder="1" applyAlignment="1">
      <alignment horizontal="right" vertical="top"/>
    </xf>
    <xf numFmtId="0" fontId="34" fillId="0" borderId="0" xfId="46" applyFont="1" applyFill="1" applyBorder="1" applyAlignment="1"/>
    <xf numFmtId="0" fontId="13" fillId="0" borderId="0" xfId="47" applyFont="1" applyFill="1" applyBorder="1" applyAlignment="1">
      <alignment vertical="top"/>
    </xf>
    <xf numFmtId="0" fontId="13" fillId="0" borderId="0" xfId="47" applyFont="1" applyFill="1" applyBorder="1" applyAlignment="1"/>
    <xf numFmtId="0" fontId="13" fillId="0" borderId="0" xfId="47" applyFont="1" applyFill="1" applyBorder="1" applyAlignment="1">
      <alignment horizontal="center"/>
    </xf>
    <xf numFmtId="0" fontId="37" fillId="0" borderId="0" xfId="44" applyFont="1" applyFill="1" applyBorder="1" applyAlignment="1" applyProtection="1">
      <alignment horizontal="center"/>
    </xf>
    <xf numFmtId="0" fontId="13" fillId="0" borderId="0" xfId="47" applyFont="1" applyFill="1" applyBorder="1" applyAlignment="1">
      <alignment horizontal="center" vertical="top"/>
    </xf>
    <xf numFmtId="0" fontId="37" fillId="0" borderId="0" xfId="44" applyFont="1" applyFill="1" applyBorder="1" applyAlignment="1" applyProtection="1">
      <alignment vertical="top"/>
    </xf>
    <xf numFmtId="0" fontId="13" fillId="0" borderId="0" xfId="47" applyFont="1" applyFill="1" applyBorder="1" applyAlignment="1">
      <alignment horizontal="right" vertical="top"/>
    </xf>
    <xf numFmtId="165" fontId="13" fillId="0" borderId="0" xfId="48" applyFont="1" applyFill="1" applyBorder="1" applyAlignment="1"/>
    <xf numFmtId="0" fontId="13" fillId="0" borderId="0" xfId="47"/>
    <xf numFmtId="0" fontId="38" fillId="0" borderId="0" xfId="47" applyFont="1"/>
    <xf numFmtId="0" fontId="39" fillId="0" borderId="0" xfId="46" applyFont="1" applyFill="1" applyBorder="1" applyAlignment="1">
      <alignment vertical="top"/>
    </xf>
    <xf numFmtId="0" fontId="3" fillId="0" borderId="0" xfId="46" applyFill="1" applyBorder="1" applyAlignment="1">
      <alignment vertical="top"/>
    </xf>
    <xf numFmtId="0" fontId="40" fillId="0" borderId="0" xfId="46" applyFont="1" applyFill="1" applyBorder="1" applyAlignment="1">
      <alignment horizontal="center"/>
    </xf>
    <xf numFmtId="0" fontId="3" fillId="0" borderId="0" xfId="46" applyFill="1" applyBorder="1" applyAlignment="1">
      <alignment horizontal="center" vertical="top"/>
    </xf>
    <xf numFmtId="0" fontId="3" fillId="0" borderId="0" xfId="46" applyFill="1" applyBorder="1" applyAlignment="1">
      <alignment horizontal="right" vertical="top"/>
    </xf>
    <xf numFmtId="0" fontId="41" fillId="0" borderId="0" xfId="46" applyFont="1" applyFill="1" applyBorder="1" applyAlignment="1"/>
    <xf numFmtId="0" fontId="0" fillId="0" borderId="0" xfId="0" applyAlignment="1">
      <alignment horizontal="left"/>
    </xf>
    <xf numFmtId="0" fontId="42" fillId="0" borderId="0" xfId="0" applyFont="1" applyAlignment="1">
      <alignment horizontal="left"/>
    </xf>
    <xf numFmtId="0" fontId="42" fillId="0" borderId="0" xfId="0" applyFont="1"/>
    <xf numFmtId="0" fontId="16" fillId="0" borderId="0" xfId="0" applyFont="1" applyAlignment="1">
      <alignment wrapText="1"/>
    </xf>
    <xf numFmtId="0" fontId="44" fillId="0" borderId="0" xfId="0" applyFont="1"/>
    <xf numFmtId="0" fontId="45" fillId="0" borderId="0" xfId="0" applyFont="1"/>
    <xf numFmtId="0" fontId="45" fillId="0" borderId="4" xfId="0" applyFont="1" applyBorder="1"/>
    <xf numFmtId="0" fontId="44" fillId="0" borderId="5" xfId="0" applyFont="1" applyBorder="1"/>
    <xf numFmtId="0" fontId="44" fillId="0" borderId="6" xfId="0" applyFont="1" applyBorder="1"/>
    <xf numFmtId="0" fontId="44" fillId="0" borderId="7" xfId="0" applyFont="1" applyBorder="1"/>
    <xf numFmtId="171" fontId="47" fillId="0" borderId="0" xfId="0" applyNumberFormat="1" applyFont="1" applyBorder="1"/>
    <xf numFmtId="171" fontId="47" fillId="0" borderId="8" xfId="0" applyNumberFormat="1" applyFont="1" applyBorder="1"/>
    <xf numFmtId="0" fontId="44" fillId="0" borderId="7" xfId="0" quotePrefix="1" applyFont="1" applyBorder="1"/>
    <xf numFmtId="171" fontId="47" fillId="0" borderId="10" xfId="0" applyNumberFormat="1" applyFont="1" applyBorder="1"/>
    <xf numFmtId="171" fontId="47" fillId="0" borderId="11" xfId="0" applyNumberFormat="1" applyFont="1" applyBorder="1"/>
    <xf numFmtId="171" fontId="47" fillId="0" borderId="0" xfId="0" applyNumberFormat="1" applyFont="1"/>
    <xf numFmtId="171" fontId="47" fillId="0" borderId="5" xfId="0" applyNumberFormat="1" applyFont="1" applyBorder="1"/>
    <xf numFmtId="171" fontId="47" fillId="0" borderId="6" xfId="0" applyNumberFormat="1" applyFont="1" applyBorder="1"/>
    <xf numFmtId="0" fontId="45" fillId="0" borderId="7" xfId="0" applyFont="1" applyBorder="1"/>
    <xf numFmtId="0" fontId="48" fillId="0" borderId="7" xfId="0" applyFont="1" applyBorder="1"/>
    <xf numFmtId="171" fontId="50" fillId="0" borderId="0" xfId="0" applyNumberFormat="1" applyFont="1" applyBorder="1"/>
    <xf numFmtId="172" fontId="52" fillId="0" borderId="13" xfId="23" applyNumberFormat="1" applyFont="1" applyBorder="1"/>
    <xf numFmtId="0" fontId="44" fillId="0" borderId="0" xfId="0" applyFont="1" applyBorder="1"/>
    <xf numFmtId="0" fontId="44" fillId="0" borderId="7" xfId="0" applyFont="1" applyBorder="1" applyAlignment="1">
      <alignment vertical="center"/>
    </xf>
    <xf numFmtId="0" fontId="44" fillId="0" borderId="9" xfId="0" applyFont="1" applyBorder="1" applyAlignment="1">
      <alignment vertical="center"/>
    </xf>
    <xf numFmtId="171" fontId="47" fillId="0" borderId="3" xfId="0" applyNumberFormat="1" applyFont="1" applyBorder="1"/>
    <xf numFmtId="171" fontId="47" fillId="0" borderId="15" xfId="0" applyNumberFormat="1" applyFont="1" applyBorder="1"/>
    <xf numFmtId="0" fontId="44" fillId="0" borderId="0" xfId="0" applyFont="1" applyAlignment="1">
      <alignment vertical="center"/>
    </xf>
    <xf numFmtId="171" fontId="44" fillId="0" borderId="0" xfId="0" applyNumberFormat="1" applyFont="1" applyBorder="1"/>
    <xf numFmtId="171" fontId="44" fillId="0" borderId="3" xfId="0" applyNumberFormat="1" applyFont="1" applyBorder="1"/>
    <xf numFmtId="0" fontId="46" fillId="0" borderId="0" xfId="0" applyFont="1" applyFill="1" applyBorder="1" applyAlignment="1">
      <alignment horizontal="center"/>
    </xf>
    <xf numFmtId="0" fontId="46" fillId="0" borderId="8" xfId="0" applyFont="1" applyFill="1" applyBorder="1" applyAlignment="1">
      <alignment horizontal="center"/>
    </xf>
    <xf numFmtId="10" fontId="47" fillId="0" borderId="0" xfId="23" applyNumberFormat="1" applyFont="1" applyBorder="1"/>
    <xf numFmtId="10" fontId="47" fillId="0" borderId="3" xfId="23" applyNumberFormat="1" applyFont="1" applyBorder="1"/>
    <xf numFmtId="0" fontId="11" fillId="0" borderId="0" xfId="0" applyFont="1" applyAlignment="1">
      <alignment vertical="center"/>
    </xf>
    <xf numFmtId="0" fontId="0" fillId="0" borderId="0" xfId="0" applyAlignment="1">
      <alignment vertical="center"/>
    </xf>
    <xf numFmtId="0" fontId="0" fillId="0" borderId="16" xfId="0" applyBorder="1"/>
    <xf numFmtId="0" fontId="15" fillId="0" borderId="3" xfId="0" applyFont="1" applyFill="1" applyBorder="1" applyAlignment="1"/>
    <xf numFmtId="165" fontId="0" fillId="0" borderId="18" xfId="9" applyFont="1" applyBorder="1"/>
    <xf numFmtId="165" fontId="0" fillId="0" borderId="17" xfId="9" applyFont="1" applyBorder="1"/>
    <xf numFmtId="0" fontId="0" fillId="0" borderId="16" xfId="0" applyBorder="1" applyAlignment="1">
      <alignment wrapText="1"/>
    </xf>
    <xf numFmtId="0" fontId="42" fillId="0" borderId="0" xfId="0" applyFont="1" applyAlignment="1">
      <alignment wrapText="1"/>
    </xf>
    <xf numFmtId="0" fontId="42" fillId="0" borderId="0" xfId="0" applyFont="1" applyAlignment="1">
      <alignment horizontal="center"/>
    </xf>
    <xf numFmtId="10" fontId="47" fillId="0" borderId="13" xfId="23" applyNumberFormat="1" applyFont="1" applyBorder="1"/>
    <xf numFmtId="165" fontId="0" fillId="0" borderId="0" xfId="9" applyNumberFormat="1" applyFont="1" applyFill="1"/>
    <xf numFmtId="173" fontId="0" fillId="0" borderId="0" xfId="9" applyNumberFormat="1" applyFont="1" applyFill="1"/>
    <xf numFmtId="43" fontId="16" fillId="0" borderId="0" xfId="0" applyNumberFormat="1" applyFont="1"/>
    <xf numFmtId="165" fontId="16" fillId="0" borderId="0" xfId="9" applyFont="1"/>
    <xf numFmtId="0" fontId="53" fillId="0" borderId="0" xfId="0" applyFont="1" applyAlignment="1">
      <alignment horizontal="center"/>
    </xf>
    <xf numFmtId="171" fontId="44" fillId="0" borderId="13" xfId="0" applyNumberFormat="1" applyFont="1" applyBorder="1"/>
    <xf numFmtId="0" fontId="0" fillId="0" borderId="20" xfId="0" applyBorder="1"/>
    <xf numFmtId="165" fontId="0" fillId="0" borderId="21" xfId="9" applyFont="1" applyBorder="1"/>
    <xf numFmtId="0" fontId="0" fillId="0" borderId="22" xfId="0" applyBorder="1"/>
    <xf numFmtId="165" fontId="0" fillId="0" borderId="23" xfId="9" applyFont="1" applyBorder="1"/>
    <xf numFmtId="9" fontId="0" fillId="0" borderId="19" xfId="23" applyFont="1" applyBorder="1"/>
    <xf numFmtId="0" fontId="42" fillId="0" borderId="0" xfId="0" applyFont="1" applyFill="1" applyBorder="1" applyAlignment="1">
      <alignment horizontal="center"/>
    </xf>
    <xf numFmtId="0" fontId="13" fillId="0" borderId="0" xfId="47" applyFont="1" applyFill="1" applyBorder="1" applyAlignment="1" applyProtection="1">
      <protection locked="0"/>
    </xf>
    <xf numFmtId="0" fontId="13" fillId="0" borderId="0" xfId="47" applyFont="1" applyProtection="1">
      <protection locked="0"/>
    </xf>
    <xf numFmtId="0" fontId="54" fillId="0" borderId="0" xfId="47" applyFont="1" applyFill="1" applyBorder="1" applyAlignment="1" applyProtection="1">
      <alignment horizontal="center"/>
      <protection locked="0"/>
    </xf>
    <xf numFmtId="0" fontId="19" fillId="0" borderId="0" xfId="47" applyFont="1" applyFill="1" applyBorder="1" applyAlignment="1" applyProtection="1">
      <alignment horizontal="center"/>
      <protection locked="0"/>
    </xf>
    <xf numFmtId="0" fontId="54" fillId="0" borderId="0" xfId="47" applyFont="1" applyFill="1" applyBorder="1" applyAlignment="1" applyProtection="1">
      <protection locked="0"/>
    </xf>
    <xf numFmtId="6" fontId="19" fillId="0" borderId="0" xfId="47" applyNumberFormat="1" applyFont="1" applyFill="1" applyBorder="1" applyAlignment="1" applyProtection="1">
      <alignment horizontal="right"/>
      <protection locked="0"/>
    </xf>
    <xf numFmtId="9" fontId="19" fillId="0" borderId="0" xfId="47" applyNumberFormat="1" applyFont="1" applyFill="1" applyBorder="1" applyAlignment="1" applyProtection="1">
      <alignment horizontal="right"/>
      <protection locked="0"/>
    </xf>
    <xf numFmtId="8" fontId="19" fillId="0" borderId="0" xfId="47" applyNumberFormat="1" applyFont="1" applyFill="1" applyBorder="1" applyAlignment="1" applyProtection="1">
      <alignment horizontal="right"/>
      <protection locked="0"/>
    </xf>
    <xf numFmtId="0" fontId="19" fillId="0" borderId="0" xfId="47" applyFont="1" applyFill="1" applyBorder="1" applyAlignment="1" applyProtection="1">
      <protection locked="0"/>
    </xf>
    <xf numFmtId="0" fontId="19" fillId="0" borderId="0" xfId="47" applyFont="1" applyFill="1" applyBorder="1" applyAlignment="1" applyProtection="1">
      <alignment horizontal="right"/>
      <protection locked="0"/>
    </xf>
    <xf numFmtId="0" fontId="13" fillId="0" borderId="0" xfId="47" applyFill="1" applyBorder="1" applyAlignment="1" applyProtection="1">
      <protection locked="0"/>
    </xf>
    <xf numFmtId="0" fontId="56" fillId="0" borderId="0" xfId="47" applyFont="1" applyFill="1" applyBorder="1" applyAlignment="1" applyProtection="1">
      <protection locked="0"/>
    </xf>
    <xf numFmtId="0" fontId="56" fillId="0" borderId="0" xfId="47" applyFont="1" applyFill="1" applyBorder="1" applyAlignment="1" applyProtection="1">
      <alignment horizontal="right"/>
      <protection locked="0"/>
    </xf>
    <xf numFmtId="0" fontId="56" fillId="0" borderId="0" xfId="47" applyFont="1" applyFill="1" applyBorder="1" applyAlignment="1" applyProtection="1">
      <alignment horizontal="right" vertical="top"/>
      <protection locked="0"/>
    </xf>
    <xf numFmtId="0" fontId="56" fillId="0" borderId="0" xfId="47" applyFont="1" applyFill="1" applyBorder="1" applyAlignment="1" applyProtection="1">
      <alignment vertical="top"/>
      <protection locked="0"/>
    </xf>
    <xf numFmtId="0" fontId="56" fillId="0" borderId="0" xfId="47" applyFont="1" applyFill="1" applyBorder="1" applyAlignment="1" applyProtection="1">
      <alignment horizontal="center" vertical="top"/>
      <protection locked="0"/>
    </xf>
    <xf numFmtId="0" fontId="18" fillId="0" borderId="0" xfId="44" applyFill="1" applyBorder="1" applyAlignment="1" applyProtection="1">
      <alignment vertical="top"/>
      <protection locked="0"/>
    </xf>
    <xf numFmtId="3" fontId="56" fillId="0" borderId="0" xfId="47" applyNumberFormat="1" applyFont="1" applyFill="1" applyBorder="1" applyAlignment="1" applyProtection="1">
      <alignment horizontal="right" vertical="top"/>
      <protection locked="0"/>
    </xf>
    <xf numFmtId="0" fontId="57" fillId="0" borderId="0" xfId="47" applyFont="1" applyFill="1" applyBorder="1" applyAlignment="1" applyProtection="1">
      <alignment vertical="top"/>
      <protection locked="0"/>
    </xf>
    <xf numFmtId="167" fontId="13" fillId="0" borderId="0" xfId="47" applyNumberFormat="1"/>
    <xf numFmtId="167" fontId="13" fillId="0" borderId="0" xfId="47" applyNumberFormat="1" applyFont="1" applyFill="1" applyBorder="1" applyAlignment="1">
      <alignment horizontal="center"/>
    </xf>
    <xf numFmtId="167" fontId="13" fillId="0" borderId="0" xfId="47" applyNumberFormat="1" applyFont="1" applyFill="1" applyBorder="1" applyAlignment="1"/>
    <xf numFmtId="6" fontId="13" fillId="0" borderId="0" xfId="47" applyNumberFormat="1" applyFont="1" applyFill="1" applyBorder="1" applyAlignment="1">
      <alignment horizontal="center" vertical="top"/>
    </xf>
    <xf numFmtId="9" fontId="13" fillId="0" borderId="0" xfId="47" applyNumberFormat="1" applyFont="1" applyFill="1" applyBorder="1" applyAlignment="1">
      <alignment horizontal="center" vertical="top"/>
    </xf>
    <xf numFmtId="8" fontId="13" fillId="0" borderId="0" xfId="47" applyNumberFormat="1" applyFont="1" applyFill="1" applyBorder="1" applyAlignment="1">
      <alignment horizontal="center" vertical="top"/>
    </xf>
    <xf numFmtId="167" fontId="13" fillId="0" borderId="0" xfId="47" applyNumberFormat="1" applyFont="1" applyFill="1" applyBorder="1" applyAlignment="1">
      <alignment horizontal="center" vertical="top"/>
    </xf>
    <xf numFmtId="0" fontId="13" fillId="0" borderId="0" xfId="47" applyAlignment="1">
      <alignment horizontal="left"/>
    </xf>
    <xf numFmtId="167" fontId="13" fillId="0" borderId="0" xfId="47" applyNumberFormat="1" applyFont="1" applyFill="1" applyBorder="1" applyAlignment="1">
      <alignment vertical="top"/>
    </xf>
    <xf numFmtId="0" fontId="13" fillId="0" borderId="0" xfId="47" applyFont="1" applyFill="1" applyBorder="1" applyAlignment="1">
      <alignment horizontal="left" vertical="top"/>
    </xf>
    <xf numFmtId="0" fontId="0" fillId="0" borderId="0" xfId="0" applyFill="1"/>
    <xf numFmtId="0" fontId="0" fillId="0" borderId="0" xfId="0" applyFill="1" applyAlignment="1">
      <alignment wrapText="1"/>
    </xf>
    <xf numFmtId="0" fontId="58" fillId="0" borderId="0" xfId="0" applyFont="1"/>
    <xf numFmtId="0" fontId="0" fillId="0" borderId="24" xfId="0" applyBorder="1"/>
    <xf numFmtId="0" fontId="0" fillId="0" borderId="25" xfId="0" applyBorder="1"/>
    <xf numFmtId="0" fontId="0" fillId="0" borderId="23" xfId="0" applyBorder="1"/>
    <xf numFmtId="0" fontId="0" fillId="0" borderId="20" xfId="0" applyBorder="1" applyAlignment="1"/>
    <xf numFmtId="0" fontId="42" fillId="0" borderId="25" xfId="0" applyFont="1" applyBorder="1" applyAlignment="1">
      <alignment horizontal="center"/>
    </xf>
    <xf numFmtId="165" fontId="1" fillId="0" borderId="27" xfId="9" applyFont="1" applyFill="1" applyBorder="1"/>
    <xf numFmtId="165" fontId="1" fillId="0" borderId="23" xfId="9" applyFont="1" applyFill="1" applyBorder="1"/>
    <xf numFmtId="0" fontId="59" fillId="0" borderId="0" xfId="0" applyFont="1"/>
    <xf numFmtId="0" fontId="0" fillId="0" borderId="21" xfId="0" applyBorder="1"/>
    <xf numFmtId="0" fontId="0" fillId="0" borderId="23" xfId="0" applyBorder="1" applyAlignment="1">
      <alignment horizontal="right"/>
    </xf>
    <xf numFmtId="170" fontId="0" fillId="0" borderId="0" xfId="0" applyNumberFormat="1"/>
    <xf numFmtId="170" fontId="5" fillId="3" borderId="1" xfId="20" applyNumberFormat="1" applyFill="1" applyBorder="1" applyAlignment="1">
      <alignment horizontal="right" vertical="center" wrapText="1"/>
    </xf>
    <xf numFmtId="170" fontId="8" fillId="3" borderId="1" xfId="0" applyNumberFormat="1" applyFont="1" applyFill="1" applyBorder="1" applyAlignment="1">
      <alignment horizontal="right" vertical="center" wrapText="1"/>
    </xf>
    <xf numFmtId="170" fontId="10" fillId="5" borderId="0" xfId="0" applyNumberFormat="1" applyFont="1" applyFill="1" applyAlignment="1">
      <alignment horizontal="right" vertical="center" wrapText="1"/>
    </xf>
    <xf numFmtId="170" fontId="9" fillId="4" borderId="0" xfId="0" applyNumberFormat="1" applyFont="1" applyFill="1" applyAlignment="1">
      <alignment horizontal="right" vertical="center" wrapText="1"/>
    </xf>
    <xf numFmtId="2" fontId="0" fillId="0" borderId="0" xfId="0" applyNumberFormat="1"/>
    <xf numFmtId="43" fontId="0" fillId="0" borderId="16" xfId="21" applyFont="1" applyBorder="1"/>
    <xf numFmtId="43" fontId="0" fillId="0" borderId="17" xfId="21" applyFont="1" applyBorder="1"/>
    <xf numFmtId="175" fontId="0" fillId="0" borderId="25" xfId="21" applyNumberFormat="1" applyFont="1" applyBorder="1"/>
    <xf numFmtId="175" fontId="0" fillId="0" borderId="0" xfId="21" applyNumberFormat="1" applyFont="1"/>
    <xf numFmtId="170" fontId="0" fillId="0" borderId="25" xfId="0" applyNumberFormat="1" applyBorder="1"/>
    <xf numFmtId="170" fontId="0" fillId="0" borderId="23" xfId="0" applyNumberFormat="1" applyBorder="1"/>
    <xf numFmtId="170" fontId="0" fillId="0" borderId="0" xfId="0" applyNumberFormat="1" applyFont="1"/>
    <xf numFmtId="0" fontId="0" fillId="0" borderId="16" xfId="0" applyFont="1" applyFill="1" applyBorder="1"/>
    <xf numFmtId="0" fontId="0" fillId="0" borderId="0" xfId="0" applyFont="1" applyFill="1"/>
    <xf numFmtId="0" fontId="0" fillId="0" borderId="26" xfId="0" applyBorder="1" applyAlignment="1"/>
    <xf numFmtId="0" fontId="0" fillId="0" borderId="21" xfId="0" applyBorder="1" applyAlignment="1"/>
    <xf numFmtId="0" fontId="0" fillId="0" borderId="24" xfId="0" applyBorder="1" applyAlignment="1"/>
    <xf numFmtId="0" fontId="0" fillId="0" borderId="0" xfId="0" applyBorder="1" applyAlignment="1"/>
    <xf numFmtId="0" fontId="0" fillId="0" borderId="25" xfId="0" applyBorder="1" applyAlignment="1"/>
    <xf numFmtId="0" fontId="0" fillId="0" borderId="22" xfId="0" applyBorder="1" applyAlignment="1"/>
    <xf numFmtId="0" fontId="0" fillId="0" borderId="27" xfId="0" applyBorder="1" applyAlignment="1"/>
    <xf numFmtId="0" fontId="0" fillId="0" borderId="23" xfId="0" applyBorder="1" applyAlignment="1"/>
    <xf numFmtId="165" fontId="0" fillId="0" borderId="27" xfId="9" applyFont="1" applyBorder="1" applyAlignment="1"/>
    <xf numFmtId="165" fontId="0" fillId="0" borderId="23" xfId="9" applyFont="1" applyBorder="1" applyAlignment="1"/>
    <xf numFmtId="9" fontId="0" fillId="0" borderId="23" xfId="23" applyFont="1" applyFill="1" applyBorder="1"/>
    <xf numFmtId="0" fontId="61" fillId="0" borderId="0" xfId="0" applyFont="1" applyFill="1" applyAlignment="1">
      <alignment horizontal="left"/>
    </xf>
    <xf numFmtId="8" fontId="0" fillId="0" borderId="0" xfId="0" applyNumberFormat="1" applyFill="1"/>
    <xf numFmtId="167" fontId="12" fillId="0" borderId="0" xfId="0" applyNumberFormat="1" applyFont="1" applyFill="1"/>
    <xf numFmtId="0" fontId="3" fillId="0" borderId="0" xfId="22" applyFill="1"/>
    <xf numFmtId="0" fontId="14" fillId="0" borderId="0" xfId="0" applyFont="1" applyFill="1"/>
    <xf numFmtId="167" fontId="0" fillId="0" borderId="0" xfId="0" applyNumberFormat="1" applyFill="1"/>
    <xf numFmtId="166" fontId="0" fillId="0" borderId="0" xfId="9" applyNumberFormat="1" applyFont="1" applyBorder="1"/>
    <xf numFmtId="166" fontId="0" fillId="0" borderId="25" xfId="9" applyNumberFormat="1" applyFont="1" applyBorder="1"/>
    <xf numFmtId="0" fontId="16" fillId="0" borderId="20" xfId="0" applyFont="1" applyBorder="1"/>
    <xf numFmtId="0" fontId="16" fillId="0" borderId="26" xfId="0" applyFont="1" applyBorder="1"/>
    <xf numFmtId="0" fontId="16" fillId="0" borderId="21" xfId="0" applyFont="1" applyBorder="1"/>
    <xf numFmtId="0" fontId="16" fillId="0" borderId="24" xfId="0" applyFont="1" applyBorder="1"/>
    <xf numFmtId="0" fontId="16" fillId="0" borderId="0" xfId="0" applyFont="1" applyBorder="1"/>
    <xf numFmtId="168" fontId="16" fillId="0" borderId="25" xfId="0" applyNumberFormat="1" applyFont="1" applyBorder="1"/>
    <xf numFmtId="0" fontId="16" fillId="0" borderId="22" xfId="0" applyFont="1" applyBorder="1"/>
    <xf numFmtId="0" fontId="16" fillId="0" borderId="27" xfId="0" applyFont="1" applyBorder="1"/>
    <xf numFmtId="168" fontId="16" fillId="0" borderId="23" xfId="0" applyNumberFormat="1" applyFont="1" applyBorder="1"/>
    <xf numFmtId="0" fontId="0" fillId="0" borderId="26" xfId="0" applyBorder="1"/>
    <xf numFmtId="0" fontId="0" fillId="0" borderId="27" xfId="0" applyBorder="1"/>
    <xf numFmtId="3" fontId="0" fillId="0" borderId="27" xfId="0" applyNumberFormat="1" applyBorder="1"/>
    <xf numFmtId="3" fontId="0" fillId="0" borderId="22" xfId="0" applyNumberFormat="1" applyBorder="1" applyAlignment="1"/>
    <xf numFmtId="164" fontId="0" fillId="0" borderId="0" xfId="0" applyNumberFormat="1" applyAlignment="1"/>
    <xf numFmtId="0" fontId="59" fillId="0" borderId="0" xfId="0" applyFont="1" applyFill="1" applyAlignment="1">
      <alignment horizontal="left"/>
    </xf>
    <xf numFmtId="169" fontId="0" fillId="0" borderId="17" xfId="0" applyNumberFormat="1" applyBorder="1"/>
    <xf numFmtId="0" fontId="0" fillId="0" borderId="26" xfId="0" applyFont="1" applyBorder="1"/>
    <xf numFmtId="165" fontId="0" fillId="0" borderId="26" xfId="9" applyFont="1" applyBorder="1"/>
    <xf numFmtId="0" fontId="0" fillId="0" borderId="20" xfId="0" applyFont="1" applyBorder="1"/>
    <xf numFmtId="0" fontId="0" fillId="0" borderId="21" xfId="0" applyFont="1" applyBorder="1"/>
    <xf numFmtId="0" fontId="0" fillId="0" borderId="24" xfId="0" applyFont="1" applyBorder="1"/>
    <xf numFmtId="0" fontId="0" fillId="0" borderId="0" xfId="0" applyFont="1" applyBorder="1"/>
    <xf numFmtId="0" fontId="0" fillId="0" borderId="25" xfId="0" applyFont="1" applyBorder="1"/>
    <xf numFmtId="6" fontId="0" fillId="0" borderId="0" xfId="0" applyNumberFormat="1" applyFont="1" applyBorder="1"/>
    <xf numFmtId="165" fontId="0" fillId="0" borderId="0" xfId="9" applyFont="1" applyBorder="1"/>
    <xf numFmtId="0" fontId="59" fillId="0" borderId="0" xfId="0" applyFont="1" applyBorder="1" applyAlignment="1">
      <alignment horizontal="center"/>
    </xf>
    <xf numFmtId="165" fontId="0" fillId="0" borderId="0" xfId="9" applyFont="1" applyFill="1" applyBorder="1"/>
    <xf numFmtId="165" fontId="0" fillId="0" borderId="0" xfId="0" applyNumberFormat="1" applyFont="1" applyBorder="1"/>
    <xf numFmtId="0" fontId="0" fillId="0" borderId="24" xfId="0" applyFont="1" applyFill="1" applyBorder="1"/>
    <xf numFmtId="0" fontId="0" fillId="0" borderId="23" xfId="0" applyFont="1" applyBorder="1"/>
    <xf numFmtId="0" fontId="0" fillId="0" borderId="27" xfId="0" applyFont="1" applyBorder="1"/>
    <xf numFmtId="0" fontId="0" fillId="0" borderId="0" xfId="0" applyFont="1" applyBorder="1" applyAlignment="1">
      <alignment horizontal="center"/>
    </xf>
    <xf numFmtId="0" fontId="0" fillId="0" borderId="0" xfId="0" applyFont="1" applyFill="1" applyBorder="1" applyAlignment="1">
      <alignment horizontal="center"/>
    </xf>
    <xf numFmtId="0" fontId="0" fillId="0" borderId="25" xfId="0" applyFont="1" applyBorder="1" applyAlignment="1">
      <alignment horizontal="center"/>
    </xf>
    <xf numFmtId="170" fontId="0" fillId="0" borderId="25" xfId="0" applyNumberFormat="1" applyFont="1" applyBorder="1"/>
    <xf numFmtId="174" fontId="0" fillId="0" borderId="25" xfId="0" applyNumberFormat="1" applyFont="1" applyBorder="1"/>
    <xf numFmtId="0" fontId="0" fillId="0" borderId="24" xfId="0" applyFont="1" applyBorder="1" applyAlignment="1"/>
    <xf numFmtId="6" fontId="0" fillId="0" borderId="0" xfId="0" applyNumberFormat="1" applyFont="1" applyBorder="1" applyAlignment="1"/>
    <xf numFmtId="0" fontId="0" fillId="0" borderId="25" xfId="0" applyFont="1" applyBorder="1" applyAlignment="1"/>
    <xf numFmtId="0" fontId="0" fillId="0" borderId="0" xfId="0" applyFont="1" applyAlignment="1"/>
    <xf numFmtId="0" fontId="0" fillId="0" borderId="22" xfId="0" applyFont="1" applyBorder="1"/>
    <xf numFmtId="12" fontId="0" fillId="0" borderId="27" xfId="0" applyNumberFormat="1" applyFont="1" applyBorder="1"/>
    <xf numFmtId="0" fontId="0" fillId="0" borderId="28" xfId="0" applyFont="1" applyFill="1" applyBorder="1"/>
    <xf numFmtId="9" fontId="0" fillId="0" borderId="29" xfId="23" applyFont="1" applyFill="1" applyBorder="1"/>
    <xf numFmtId="170" fontId="0" fillId="0" borderId="0" xfId="42" applyNumberFormat="1" applyFont="1" applyBorder="1"/>
    <xf numFmtId="170" fontId="0" fillId="0" borderId="25" xfId="42" applyNumberFormat="1" applyFont="1" applyBorder="1"/>
    <xf numFmtId="165" fontId="0" fillId="0" borderId="25" xfId="9" applyFont="1" applyBorder="1"/>
    <xf numFmtId="165" fontId="0" fillId="0" borderId="27" xfId="9" applyFont="1" applyBorder="1"/>
    <xf numFmtId="0" fontId="0" fillId="0" borderId="26" xfId="0" applyFont="1" applyBorder="1" applyAlignment="1">
      <alignment horizontal="center"/>
    </xf>
    <xf numFmtId="0" fontId="0" fillId="0" borderId="21" xfId="0" applyFont="1" applyBorder="1" applyAlignment="1">
      <alignment horizontal="center"/>
    </xf>
    <xf numFmtId="0" fontId="59" fillId="0" borderId="20" xfId="0" applyFont="1" applyFill="1" applyBorder="1" applyAlignment="1">
      <alignment horizontal="left"/>
    </xf>
    <xf numFmtId="0" fontId="0" fillId="0" borderId="26" xfId="0" applyFont="1" applyBorder="1" applyAlignment="1"/>
    <xf numFmtId="165" fontId="60" fillId="0" borderId="25" xfId="9" applyFont="1" applyBorder="1"/>
    <xf numFmtId="165" fontId="0" fillId="0" borderId="27" xfId="0" applyNumberFormat="1" applyFont="1" applyBorder="1"/>
    <xf numFmtId="165" fontId="60" fillId="0" borderId="23" xfId="9" applyFont="1" applyBorder="1"/>
    <xf numFmtId="0" fontId="59" fillId="0" borderId="20" xfId="0" applyFont="1" applyBorder="1"/>
    <xf numFmtId="174" fontId="0" fillId="0" borderId="0" xfId="0" applyNumberFormat="1" applyFont="1"/>
    <xf numFmtId="16" fontId="0" fillId="0" borderId="24" xfId="0" applyNumberFormat="1" applyFont="1" applyBorder="1"/>
    <xf numFmtId="174" fontId="0" fillId="0" borderId="23" xfId="0" applyNumberFormat="1" applyFont="1" applyBorder="1"/>
    <xf numFmtId="174" fontId="0" fillId="0" borderId="0" xfId="0" applyNumberFormat="1" applyFont="1" applyBorder="1"/>
    <xf numFmtId="174" fontId="0" fillId="0" borderId="0" xfId="0" applyNumberFormat="1" applyFont="1" applyBorder="1" applyAlignment="1"/>
    <xf numFmtId="0" fontId="0" fillId="0" borderId="16" xfId="0" applyFont="1" applyBorder="1"/>
    <xf numFmtId="0" fontId="59" fillId="0" borderId="26" xfId="0" applyFont="1" applyBorder="1" applyAlignment="1">
      <alignment horizontal="center"/>
    </xf>
    <xf numFmtId="0" fontId="59" fillId="0" borderId="21" xfId="0" applyFont="1" applyBorder="1" applyAlignment="1">
      <alignment horizontal="center"/>
    </xf>
    <xf numFmtId="166" fontId="0" fillId="0" borderId="27" xfId="9" applyNumberFormat="1" applyFont="1" applyBorder="1"/>
    <xf numFmtId="166" fontId="0" fillId="0" borderId="23" xfId="9" applyNumberFormat="1" applyFont="1" applyBorder="1"/>
    <xf numFmtId="44" fontId="0" fillId="0" borderId="0" xfId="0" applyNumberFormat="1"/>
    <xf numFmtId="174" fontId="0" fillId="0" borderId="0" xfId="42" applyNumberFormat="1" applyFont="1" applyBorder="1" applyAlignment="1"/>
    <xf numFmtId="44" fontId="0" fillId="0" borderId="0" xfId="0" applyNumberFormat="1" applyFont="1"/>
    <xf numFmtId="43" fontId="0" fillId="0" borderId="22" xfId="21" applyFont="1" applyBorder="1" applyAlignment="1"/>
    <xf numFmtId="172" fontId="47" fillId="0" borderId="12" xfId="23" applyNumberFormat="1" applyFont="1" applyBorder="1"/>
    <xf numFmtId="172" fontId="47" fillId="0" borderId="13" xfId="23" applyNumberFormat="1" applyFont="1" applyBorder="1"/>
    <xf numFmtId="39" fontId="47" fillId="0" borderId="14" xfId="0" applyNumberFormat="1" applyFont="1" applyBorder="1"/>
    <xf numFmtId="172" fontId="47" fillId="0" borderId="0" xfId="23" applyNumberFormat="1" applyFont="1" applyBorder="1"/>
    <xf numFmtId="9" fontId="47" fillId="0" borderId="13" xfId="23" applyFont="1" applyBorder="1"/>
    <xf numFmtId="43" fontId="47" fillId="0" borderId="13" xfId="21" applyFont="1" applyBorder="1"/>
    <xf numFmtId="171" fontId="47" fillId="0" borderId="13" xfId="0" applyNumberFormat="1" applyFont="1" applyBorder="1"/>
    <xf numFmtId="0" fontId="44" fillId="0" borderId="7" xfId="0" applyFont="1" applyBorder="1" applyAlignment="1">
      <alignment horizontal="left"/>
    </xf>
    <xf numFmtId="0" fontId="44" fillId="0" borderId="9" xfId="0" applyFont="1" applyBorder="1" applyAlignment="1">
      <alignment horizontal="left"/>
    </xf>
    <xf numFmtId="171" fontId="46" fillId="0" borderId="0" xfId="0" applyNumberFormat="1" applyFont="1" applyBorder="1" applyAlignment="1">
      <alignment horizontal="center"/>
    </xf>
    <xf numFmtId="171" fontId="44" fillId="0" borderId="5" xfId="0" applyNumberFormat="1" applyFont="1" applyBorder="1"/>
    <xf numFmtId="0" fontId="0" fillId="0" borderId="5" xfId="0" applyBorder="1"/>
    <xf numFmtId="0" fontId="0" fillId="0" borderId="6" xfId="0" applyBorder="1"/>
    <xf numFmtId="0" fontId="0" fillId="0" borderId="0" xfId="0" applyBorder="1"/>
    <xf numFmtId="0" fontId="0" fillId="0" borderId="8" xfId="0" applyBorder="1"/>
    <xf numFmtId="0" fontId="0" fillId="0" borderId="3" xfId="0" applyBorder="1"/>
    <xf numFmtId="0" fontId="0" fillId="0" borderId="15" xfId="0" applyBorder="1"/>
    <xf numFmtId="170" fontId="0" fillId="0" borderId="0" xfId="0" applyNumberFormat="1" applyBorder="1"/>
    <xf numFmtId="10" fontId="0" fillId="0" borderId="21" xfId="23" applyNumberFormat="1" applyFont="1" applyBorder="1"/>
    <xf numFmtId="10" fontId="0" fillId="0" borderId="25" xfId="23" applyNumberFormat="1" applyFont="1" applyBorder="1"/>
    <xf numFmtId="10" fontId="0" fillId="0" borderId="25" xfId="0" applyNumberFormat="1" applyBorder="1"/>
    <xf numFmtId="172" fontId="0" fillId="0" borderId="23" xfId="0" applyNumberFormat="1" applyBorder="1"/>
    <xf numFmtId="3" fontId="0" fillId="0" borderId="25" xfId="0" applyNumberFormat="1" applyBorder="1"/>
    <xf numFmtId="165" fontId="0" fillId="0" borderId="25" xfId="0" applyNumberFormat="1" applyBorder="1"/>
    <xf numFmtId="165" fontId="0" fillId="0" borderId="23" xfId="0" applyNumberFormat="1" applyBorder="1"/>
    <xf numFmtId="0" fontId="0" fillId="0" borderId="20" xfId="0" applyBorder="1" applyAlignment="1">
      <alignment wrapText="1"/>
    </xf>
    <xf numFmtId="0" fontId="42" fillId="0" borderId="26" xfId="0" applyFont="1" applyBorder="1" applyAlignment="1">
      <alignment horizontal="center"/>
    </xf>
    <xf numFmtId="0" fontId="42" fillId="0" borderId="21" xfId="0" applyFont="1" applyBorder="1" applyAlignment="1">
      <alignment horizontal="center"/>
    </xf>
    <xf numFmtId="0" fontId="0" fillId="0" borderId="24" xfId="0" applyBorder="1" applyAlignment="1">
      <alignment wrapText="1"/>
    </xf>
    <xf numFmtId="43" fontId="0" fillId="0" borderId="0" xfId="0" applyNumberFormat="1" applyBorder="1"/>
    <xf numFmtId="165" fontId="0" fillId="0" borderId="21" xfId="9" applyFont="1" applyFill="1" applyBorder="1"/>
    <xf numFmtId="43" fontId="0" fillId="0" borderId="0" xfId="21" applyFont="1" applyBorder="1"/>
    <xf numFmtId="43" fontId="0" fillId="0" borderId="25" xfId="21" applyFont="1" applyBorder="1"/>
    <xf numFmtId="0" fontId="43" fillId="0" borderId="0" xfId="0" applyFont="1" applyBorder="1" applyAlignment="1">
      <alignment horizontal="center"/>
    </xf>
    <xf numFmtId="0" fontId="44" fillId="0" borderId="0" xfId="0" applyFont="1" applyBorder="1" applyAlignment="1">
      <alignment horizontal="center"/>
    </xf>
    <xf numFmtId="0" fontId="43" fillId="0" borderId="0" xfId="0" applyFont="1" applyFill="1" applyBorder="1" applyAlignment="1">
      <alignment horizontal="center"/>
    </xf>
    <xf numFmtId="0" fontId="43" fillId="0" borderId="8" xfId="0" applyFont="1" applyFill="1" applyBorder="1" applyAlignment="1">
      <alignment horizontal="center"/>
    </xf>
    <xf numFmtId="0" fontId="0" fillId="0" borderId="0" xfId="0"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59" fillId="0" borderId="0" xfId="0" applyFont="1" applyAlignment="1">
      <alignment horizontal="center"/>
    </xf>
    <xf numFmtId="0" fontId="59" fillId="0" borderId="0" xfId="0" applyFont="1" applyAlignment="1">
      <alignment horizontal="left"/>
    </xf>
    <xf numFmtId="0" fontId="7" fillId="2" borderId="1" xfId="0" applyFont="1" applyFill="1" applyBorder="1" applyAlignment="1">
      <alignment vertical="center" wrapText="1"/>
    </xf>
    <xf numFmtId="170" fontId="7" fillId="2" borderId="1" xfId="0" applyNumberFormat="1" applyFont="1" applyFill="1" applyBorder="1" applyAlignment="1">
      <alignment vertical="center" wrapText="1"/>
    </xf>
    <xf numFmtId="2" fontId="7" fillId="2" borderId="1" xfId="0" applyNumberFormat="1" applyFont="1" applyFill="1" applyBorder="1" applyAlignment="1">
      <alignment vertical="center" wrapText="1"/>
    </xf>
    <xf numFmtId="3" fontId="7" fillId="2" borderId="1" xfId="0" applyNumberFormat="1" applyFont="1" applyFill="1" applyBorder="1" applyAlignment="1">
      <alignment vertical="center" wrapText="1"/>
    </xf>
    <xf numFmtId="0" fontId="59" fillId="0" borderId="26" xfId="0" applyFont="1" applyBorder="1" applyAlignment="1">
      <alignment horizontal="center"/>
    </xf>
    <xf numFmtId="0" fontId="59" fillId="0" borderId="0" xfId="0" applyFont="1" applyBorder="1" applyAlignment="1">
      <alignment horizontal="center"/>
    </xf>
    <xf numFmtId="0" fontId="59" fillId="0" borderId="25" xfId="0" applyFont="1" applyBorder="1" applyAlignment="1">
      <alignment horizontal="center"/>
    </xf>
    <xf numFmtId="0" fontId="59" fillId="0" borderId="21" xfId="0" applyFont="1" applyBorder="1" applyAlignment="1">
      <alignment horizontal="center"/>
    </xf>
  </cellXfs>
  <cellStyles count="135">
    <cellStyle name="Comma" xfId="21" builtinId="3"/>
    <cellStyle name="Comma 2" xfId="42"/>
    <cellStyle name="Currency" xfId="9" builtinId="4"/>
    <cellStyle name="Currency 2" xfId="48"/>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cellStyle name="Hyperlink 2" xfId="43"/>
    <cellStyle name="Hyperlink 3" xfId="44"/>
    <cellStyle name="Normal" xfId="0" builtinId="0"/>
    <cellStyle name="Normal 2" xfId="22"/>
    <cellStyle name="Normal 3" xfId="45"/>
    <cellStyle name="Normal 4" xfId="46"/>
    <cellStyle name="Normal 5" xfId="47"/>
    <cellStyle name="Percent" xfId="2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FCI</a:t>
            </a:r>
            <a:r>
              <a:rPr lang="en-US" baseline="0"/>
              <a:t> Index 10 Years</a:t>
            </a:r>
            <a:endParaRPr lang="en-US"/>
          </a:p>
        </c:rich>
      </c:tx>
      <c:overlay val="0"/>
    </c:title>
    <c:autoTitleDeleted val="0"/>
    <c:plotArea>
      <c:layout>
        <c:manualLayout>
          <c:layoutTarget val="inner"/>
          <c:xMode val="edge"/>
          <c:yMode val="edge"/>
          <c:x val="0.13883573928258999"/>
          <c:y val="0.19480351414406499"/>
          <c:w val="0.82783092738407704"/>
          <c:h val="0.68921660834062404"/>
        </c:manualLayout>
      </c:layout>
      <c:lineChart>
        <c:grouping val="standard"/>
        <c:varyColors val="0"/>
        <c:ser>
          <c:idx val="0"/>
          <c:order val="0"/>
          <c:marker>
            <c:symbol val="none"/>
          </c:marker>
          <c:trendline>
            <c:trendlineType val="linear"/>
            <c:dispRSqr val="0"/>
            <c:dispEq val="0"/>
          </c:trendline>
          <c:trendline>
            <c:trendlineType val="linear"/>
            <c:dispRSqr val="1"/>
            <c:dispEq val="1"/>
            <c:trendlineLbl>
              <c:layout>
                <c:manualLayout>
                  <c:x val="5.4183070866141797E-2"/>
                  <c:y val="0.473992053076699"/>
                </c:manualLayout>
              </c:layout>
              <c:numFmt formatCode="General" sourceLinked="0"/>
            </c:trendlineLbl>
          </c:trendline>
          <c:cat>
            <c:numRef>
              <c:f>'Fan Cost Index Data'!$R$3:$AA$3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'Fan Cost Index Data'!$R$8:$AA$8</c:f>
              <c:numCache>
                <c:formatCode>"$"#,##0.00</c:formatCode>
                <c:ptCount val="10"/>
                <c:pt idx="0" formatCode="&quot;$&quot;#,##0.00_);[Red]\(&quot;$&quot;#,##0.00\)">
                  <c:v>301.49</c:v>
                </c:pt>
                <c:pt idx="1">
                  <c:v>335</c:v>
                </c:pt>
                <c:pt idx="2" formatCode="General">
                  <c:v>344.5</c:v>
                </c:pt>
                <c:pt idx="3" formatCode="General">
                  <c:v>389</c:v>
                </c:pt>
                <c:pt idx="4" formatCode="General">
                  <c:v>365</c:v>
                </c:pt>
                <c:pt idx="5" formatCode="General">
                  <c:v>393.98</c:v>
                </c:pt>
                <c:pt idx="6" formatCode="General">
                  <c:v>426.6</c:v>
                </c:pt>
                <c:pt idx="7" formatCode="General">
                  <c:v>456.6</c:v>
                </c:pt>
                <c:pt idx="8">
                  <c:v>477.32</c:v>
                </c:pt>
                <c:pt idx="9" formatCode="General">
                  <c:v>477.32</c:v>
                </c:pt>
              </c:numCache>
            </c:numRef>
          </c:val>
          <c:smooth val="0"/>
        </c:ser>
        <c:dLbls>
          <c:showLegendKey val="0"/>
          <c:showVal val="0"/>
          <c:showCatName val="0"/>
          <c:showSerName val="0"/>
          <c:showPercent val="0"/>
          <c:showBubbleSize val="0"/>
        </c:dLbls>
        <c:smooth val="0"/>
        <c:axId val="293342032"/>
        <c:axId val="293342816"/>
      </c:lineChart>
      <c:catAx>
        <c:axId val="293342032"/>
        <c:scaling>
          <c:orientation val="minMax"/>
        </c:scaling>
        <c:delete val="0"/>
        <c:axPos val="b"/>
        <c:numFmt formatCode="General" sourceLinked="1"/>
        <c:majorTickMark val="none"/>
        <c:minorTickMark val="none"/>
        <c:tickLblPos val="nextTo"/>
        <c:crossAx val="293342816"/>
        <c:crosses val="autoZero"/>
        <c:auto val="1"/>
        <c:lblAlgn val="ctr"/>
        <c:lblOffset val="100"/>
        <c:noMultiLvlLbl val="0"/>
      </c:catAx>
      <c:valAx>
        <c:axId val="293342816"/>
        <c:scaling>
          <c:orientation val="minMax"/>
        </c:scaling>
        <c:delete val="0"/>
        <c:axPos val="l"/>
        <c:numFmt formatCode="&quot;$&quot;#,##0.00_);[Red]\(&quot;$&quot;#,##0.00\)" sourceLinked="1"/>
        <c:majorTickMark val="none"/>
        <c:minorTickMark val="none"/>
        <c:tickLblPos val="nextTo"/>
        <c:spPr>
          <a:ln w="9525">
            <a:noFill/>
          </a:ln>
        </c:spPr>
        <c:crossAx val="29334203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FCI Index 15 Years</a:t>
            </a:r>
          </a:p>
        </c:rich>
      </c:tx>
      <c:overlay val="0"/>
    </c:title>
    <c:autoTitleDeleted val="0"/>
    <c:plotArea>
      <c:layout/>
      <c:lineChart>
        <c:grouping val="standard"/>
        <c:varyColors val="0"/>
        <c:ser>
          <c:idx val="1"/>
          <c:order val="1"/>
          <c:marker>
            <c:symbol val="none"/>
          </c:marker>
          <c:cat>
            <c:numRef>
              <c:f>'Fan Cost Index Data'!$C$3:$AA$3</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'Fan Cost Index Data'!$C$8:$AA$8</c:f>
              <c:numCache>
                <c:formatCode>"$"#,##0.00_);[Red]\("$"#,##0.00\)</c:formatCode>
                <c:ptCount val="25"/>
                <c:pt idx="0">
                  <c:v>183.1</c:v>
                </c:pt>
                <c:pt idx="1">
                  <c:v>197.92</c:v>
                </c:pt>
                <c:pt idx="2">
                  <c:v>215.8</c:v>
                </c:pt>
                <c:pt idx="3">
                  <c:v>216</c:v>
                </c:pt>
                <c:pt idx="4">
                  <c:v>222.5</c:v>
                </c:pt>
                <c:pt idx="5">
                  <c:v>251.88</c:v>
                </c:pt>
                <c:pt idx="6">
                  <c:v>269.76</c:v>
                </c:pt>
                <c:pt idx="7">
                  <c:v>301.42</c:v>
                </c:pt>
                <c:pt idx="8">
                  <c:v>306.86</c:v>
                </c:pt>
                <c:pt idx="9">
                  <c:v>307.36</c:v>
                </c:pt>
                <c:pt idx="10">
                  <c:v>294.48</c:v>
                </c:pt>
                <c:pt idx="11">
                  <c:v>288.69</c:v>
                </c:pt>
                <c:pt idx="12">
                  <c:v>292.69</c:v>
                </c:pt>
                <c:pt idx="13">
                  <c:v>295.18</c:v>
                </c:pt>
                <c:pt idx="14">
                  <c:v>304.14999999999998</c:v>
                </c:pt>
                <c:pt idx="15">
                  <c:v>301.49</c:v>
                </c:pt>
                <c:pt idx="16" formatCode="&quot;$&quot;#,##0.00">
                  <c:v>335</c:v>
                </c:pt>
                <c:pt idx="17" formatCode="General">
                  <c:v>344.5</c:v>
                </c:pt>
                <c:pt idx="18" formatCode="General">
                  <c:v>389</c:v>
                </c:pt>
                <c:pt idx="19" formatCode="General">
                  <c:v>365</c:v>
                </c:pt>
                <c:pt idx="20" formatCode="General">
                  <c:v>393.98</c:v>
                </c:pt>
                <c:pt idx="21" formatCode="General">
                  <c:v>426.6</c:v>
                </c:pt>
                <c:pt idx="22" formatCode="General">
                  <c:v>456.6</c:v>
                </c:pt>
                <c:pt idx="23" formatCode="&quot;$&quot;#,##0.00">
                  <c:v>477.32</c:v>
                </c:pt>
                <c:pt idx="24" formatCode="General">
                  <c:v>477.32</c:v>
                </c:pt>
              </c:numCache>
            </c:numRef>
          </c:val>
          <c:smooth val="0"/>
        </c:ser>
        <c:ser>
          <c:idx val="0"/>
          <c:order val="0"/>
          <c:marker>
            <c:symbol val="none"/>
          </c:marker>
          <c:trendline>
            <c:trendlineType val="linear"/>
            <c:dispRSqr val="1"/>
            <c:dispEq val="1"/>
            <c:trendlineLbl>
              <c:layout>
                <c:manualLayout>
                  <c:x val="3.2340551181102399E-2"/>
                  <c:y val="0.39190908428113203"/>
                </c:manualLayout>
              </c:layout>
              <c:numFmt formatCode="General" sourceLinked="0"/>
            </c:trendlineLbl>
          </c:trendline>
          <c:cat>
            <c:numRef>
              <c:f>'Fan Cost Index Data'!$C$3:$AA$3</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'Fan Cost Index Data'!$C$8:$AA$8</c:f>
              <c:numCache>
                <c:formatCode>"$"#,##0.00_);[Red]\("$"#,##0.00\)</c:formatCode>
                <c:ptCount val="25"/>
                <c:pt idx="0">
                  <c:v>183.1</c:v>
                </c:pt>
                <c:pt idx="1">
                  <c:v>197.92</c:v>
                </c:pt>
                <c:pt idx="2">
                  <c:v>215.8</c:v>
                </c:pt>
                <c:pt idx="3">
                  <c:v>216</c:v>
                </c:pt>
                <c:pt idx="4">
                  <c:v>222.5</c:v>
                </c:pt>
                <c:pt idx="5">
                  <c:v>251.88</c:v>
                </c:pt>
                <c:pt idx="6">
                  <c:v>269.76</c:v>
                </c:pt>
                <c:pt idx="7">
                  <c:v>301.42</c:v>
                </c:pt>
                <c:pt idx="8">
                  <c:v>306.86</c:v>
                </c:pt>
                <c:pt idx="9">
                  <c:v>307.36</c:v>
                </c:pt>
                <c:pt idx="10">
                  <c:v>294.48</c:v>
                </c:pt>
                <c:pt idx="11">
                  <c:v>288.69</c:v>
                </c:pt>
                <c:pt idx="12">
                  <c:v>292.69</c:v>
                </c:pt>
                <c:pt idx="13">
                  <c:v>295.18</c:v>
                </c:pt>
                <c:pt idx="14">
                  <c:v>304.14999999999998</c:v>
                </c:pt>
                <c:pt idx="15">
                  <c:v>301.49</c:v>
                </c:pt>
                <c:pt idx="16" formatCode="&quot;$&quot;#,##0.00">
                  <c:v>335</c:v>
                </c:pt>
                <c:pt idx="17" formatCode="General">
                  <c:v>344.5</c:v>
                </c:pt>
                <c:pt idx="18" formatCode="General">
                  <c:v>389</c:v>
                </c:pt>
                <c:pt idx="19" formatCode="General">
                  <c:v>365</c:v>
                </c:pt>
                <c:pt idx="20" formatCode="General">
                  <c:v>393.98</c:v>
                </c:pt>
                <c:pt idx="21" formatCode="General">
                  <c:v>426.6</c:v>
                </c:pt>
                <c:pt idx="22" formatCode="General">
                  <c:v>456.6</c:v>
                </c:pt>
                <c:pt idx="23" formatCode="&quot;$&quot;#,##0.00">
                  <c:v>477.32</c:v>
                </c:pt>
                <c:pt idx="24" formatCode="General">
                  <c:v>477.32</c:v>
                </c:pt>
              </c:numCache>
            </c:numRef>
          </c:val>
          <c:smooth val="0"/>
        </c:ser>
        <c:dLbls>
          <c:showLegendKey val="0"/>
          <c:showVal val="0"/>
          <c:showCatName val="0"/>
          <c:showSerName val="0"/>
          <c:showPercent val="0"/>
          <c:showBubbleSize val="0"/>
        </c:dLbls>
        <c:smooth val="0"/>
        <c:axId val="293341640"/>
        <c:axId val="293339680"/>
      </c:lineChart>
      <c:catAx>
        <c:axId val="293341640"/>
        <c:scaling>
          <c:orientation val="minMax"/>
        </c:scaling>
        <c:delete val="0"/>
        <c:axPos val="b"/>
        <c:numFmt formatCode="General" sourceLinked="1"/>
        <c:majorTickMark val="none"/>
        <c:minorTickMark val="none"/>
        <c:tickLblPos val="nextTo"/>
        <c:crossAx val="293339680"/>
        <c:crosses val="autoZero"/>
        <c:auto val="1"/>
        <c:lblAlgn val="ctr"/>
        <c:lblOffset val="100"/>
        <c:noMultiLvlLbl val="0"/>
      </c:catAx>
      <c:valAx>
        <c:axId val="293339680"/>
        <c:scaling>
          <c:orientation val="minMax"/>
        </c:scaling>
        <c:delete val="0"/>
        <c:axPos val="l"/>
        <c:numFmt formatCode="&quot;$&quot;#,##0.00_);[Red]\(&quot;$&quot;#,##0.00\)" sourceLinked="1"/>
        <c:majorTickMark val="none"/>
        <c:minorTickMark val="none"/>
        <c:tickLblPos val="nextTo"/>
        <c:spPr>
          <a:ln w="9525">
            <a:noFill/>
          </a:ln>
        </c:spPr>
        <c:crossAx val="29334164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Market Value  Residual Plot</a:t>
            </a:r>
          </a:p>
        </c:rich>
      </c:tx>
      <c:overlay val="0"/>
    </c:title>
    <c:autoTitleDeleted val="0"/>
    <c:plotArea>
      <c:layout/>
      <c:scatterChart>
        <c:scatterStyle val="lineMarker"/>
        <c:varyColors val="0"/>
        <c:ser>
          <c:idx val="0"/>
          <c:order val="0"/>
          <c:spPr>
            <a:ln w="28575">
              <a:noFill/>
            </a:ln>
          </c:spPr>
          <c:xVal>
            <c:numRef>
              <c:f>'Market Return'!$C$4:$C$14</c:f>
              <c:numCache>
                <c:formatCode>_-"$"* #,##0.00_-;\-"$"* #,##0.00_-;_-"$"* "-"??_-;_-@_-</c:formatCode>
                <c:ptCount val="11"/>
                <c:pt idx="0">
                  <c:v>1245333333.3333333</c:v>
                </c:pt>
                <c:pt idx="1">
                  <c:v>1106166666.6666667</c:v>
                </c:pt>
                <c:pt idx="2">
                  <c:v>634300000</c:v>
                </c:pt>
                <c:pt idx="3">
                  <c:v>509033333.33333331</c:v>
                </c:pt>
                <c:pt idx="4">
                  <c:v>392533333.33333331</c:v>
                </c:pt>
                <c:pt idx="5">
                  <c:v>368766666.66666669</c:v>
                </c:pt>
                <c:pt idx="6">
                  <c:v>367000000</c:v>
                </c:pt>
                <c:pt idx="7">
                  <c:v>379466666.66666669</c:v>
                </c:pt>
                <c:pt idx="8">
                  <c:v>372466666.66666669</c:v>
                </c:pt>
                <c:pt idx="9">
                  <c:v>353200000</c:v>
                </c:pt>
                <c:pt idx="10">
                  <c:v>326066666.66666669</c:v>
                </c:pt>
              </c:numCache>
            </c:numRef>
          </c:xVal>
          <c:yVal>
            <c:numRef>
              <c:f>Beta!$C$25:$C$35</c:f>
              <c:numCache>
                <c:formatCode>General</c:formatCode>
                <c:ptCount val="11"/>
                <c:pt idx="0">
                  <c:v>11793797.089897633</c:v>
                </c:pt>
                <c:pt idx="1">
                  <c:v>-3963431.0588555336</c:v>
                </c:pt>
                <c:pt idx="2">
                  <c:v>-40193208.705262303</c:v>
                </c:pt>
                <c:pt idx="3">
                  <c:v>15659327.011381149</c:v>
                </c:pt>
                <c:pt idx="4">
                  <c:v>53606270.153922081</c:v>
                </c:pt>
                <c:pt idx="5">
                  <c:v>13148808.197021127</c:v>
                </c:pt>
                <c:pt idx="6">
                  <c:v>16757159.552258611</c:v>
                </c:pt>
                <c:pt idx="7">
                  <c:v>-15705546.237529755</c:v>
                </c:pt>
                <c:pt idx="8">
                  <c:v>-44408305.018664718</c:v>
                </c:pt>
                <c:pt idx="9">
                  <c:v>-5056850.6162644625</c:v>
                </c:pt>
                <c:pt idx="10">
                  <c:v>-1638020.3679016829</c:v>
                </c:pt>
              </c:numCache>
            </c:numRef>
          </c:yVal>
          <c:smooth val="0"/>
        </c:ser>
        <c:dLbls>
          <c:showLegendKey val="0"/>
          <c:showVal val="0"/>
          <c:showCatName val="0"/>
          <c:showSerName val="0"/>
          <c:showPercent val="0"/>
          <c:showBubbleSize val="0"/>
        </c:dLbls>
        <c:axId val="346124592"/>
        <c:axId val="346124984"/>
      </c:scatterChart>
      <c:valAx>
        <c:axId val="346124592"/>
        <c:scaling>
          <c:orientation val="minMax"/>
        </c:scaling>
        <c:delete val="0"/>
        <c:axPos val="b"/>
        <c:title>
          <c:tx>
            <c:rich>
              <a:bodyPr/>
              <a:lstStyle/>
              <a:p>
                <a:pPr>
                  <a:defRPr/>
                </a:pPr>
                <a:r>
                  <a:rPr lang="en-US"/>
                  <a:t>Average Market Value</a:t>
                </a:r>
              </a:p>
            </c:rich>
          </c:tx>
          <c:overlay val="0"/>
        </c:title>
        <c:numFmt formatCode="_-&quot;$&quot;* #,##0.00_-;\-&quot;$&quot;* #,##0.00_-;_-&quot;$&quot;* &quot;-&quot;??_-;_-@_-" sourceLinked="1"/>
        <c:majorTickMark val="out"/>
        <c:minorTickMark val="none"/>
        <c:tickLblPos val="nextTo"/>
        <c:crossAx val="346124984"/>
        <c:crosses val="autoZero"/>
        <c:crossBetween val="midCat"/>
      </c:valAx>
      <c:valAx>
        <c:axId val="346124984"/>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34612459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Market Value Line Fit  Plot</a:t>
            </a:r>
          </a:p>
        </c:rich>
      </c:tx>
      <c:overlay val="0"/>
    </c:title>
    <c:autoTitleDeleted val="0"/>
    <c:plotArea>
      <c:layout/>
      <c:scatterChart>
        <c:scatterStyle val="lineMarker"/>
        <c:varyColors val="0"/>
        <c:ser>
          <c:idx val="0"/>
          <c:order val="0"/>
          <c:tx>
            <c:v>Chicago Bulls Value</c:v>
          </c:tx>
          <c:spPr>
            <a:ln w="28575">
              <a:noFill/>
            </a:ln>
          </c:spPr>
          <c:xVal>
            <c:numRef>
              <c:f>'Market Return'!$C$4:$C$14</c:f>
              <c:numCache>
                <c:formatCode>_-"$"* #,##0.00_-;\-"$"* #,##0.00_-;_-"$"* "-"??_-;_-@_-</c:formatCode>
                <c:ptCount val="11"/>
                <c:pt idx="0">
                  <c:v>1245333333.3333333</c:v>
                </c:pt>
                <c:pt idx="1">
                  <c:v>1106166666.6666667</c:v>
                </c:pt>
                <c:pt idx="2">
                  <c:v>634300000</c:v>
                </c:pt>
                <c:pt idx="3">
                  <c:v>509033333.33333331</c:v>
                </c:pt>
                <c:pt idx="4">
                  <c:v>392533333.33333331</c:v>
                </c:pt>
                <c:pt idx="5">
                  <c:v>368766666.66666669</c:v>
                </c:pt>
                <c:pt idx="6">
                  <c:v>367000000</c:v>
                </c:pt>
                <c:pt idx="7">
                  <c:v>379466666.66666669</c:v>
                </c:pt>
                <c:pt idx="8">
                  <c:v>372466666.66666669</c:v>
                </c:pt>
                <c:pt idx="9">
                  <c:v>353200000</c:v>
                </c:pt>
                <c:pt idx="10">
                  <c:v>326066666.66666669</c:v>
                </c:pt>
              </c:numCache>
            </c:numRef>
          </c:xVal>
          <c:yVal>
            <c:numRef>
              <c:f>'Market Return'!$E$4:$E$14</c:f>
              <c:numCache>
                <c:formatCode>_-"$"* #,##0.00_-;\-"$"* #,##0.00_-;_-"$"* "-"??_-;_-@_-</c:formatCode>
                <c:ptCount val="11"/>
                <c:pt idx="0">
                  <c:v>2300000000</c:v>
                </c:pt>
                <c:pt idx="1">
                  <c:v>2000000000</c:v>
                </c:pt>
                <c:pt idx="2">
                  <c:v>1000000000</c:v>
                </c:pt>
                <c:pt idx="3">
                  <c:v>800000000</c:v>
                </c:pt>
                <c:pt idx="4">
                  <c:v>600000000</c:v>
                </c:pt>
                <c:pt idx="5">
                  <c:v>511000000</c:v>
                </c:pt>
                <c:pt idx="6">
                  <c:v>511000000</c:v>
                </c:pt>
                <c:pt idx="7">
                  <c:v>504000000</c:v>
                </c:pt>
                <c:pt idx="8">
                  <c:v>461000000</c:v>
                </c:pt>
                <c:pt idx="9">
                  <c:v>461000000</c:v>
                </c:pt>
                <c:pt idx="10">
                  <c:v>409000000</c:v>
                </c:pt>
              </c:numCache>
            </c:numRef>
          </c:yVal>
          <c:smooth val="0"/>
        </c:ser>
        <c:ser>
          <c:idx val="1"/>
          <c:order val="1"/>
          <c:tx>
            <c:v>Predicted Chicago Bulls Value</c:v>
          </c:tx>
          <c:spPr>
            <a:ln w="28575">
              <a:noFill/>
            </a:ln>
          </c:spPr>
          <c:xVal>
            <c:numRef>
              <c:f>'Market Return'!$C$4:$C$14</c:f>
              <c:numCache>
                <c:formatCode>_-"$"* #,##0.00_-;\-"$"* #,##0.00_-;_-"$"* "-"??_-;_-@_-</c:formatCode>
                <c:ptCount val="11"/>
                <c:pt idx="0">
                  <c:v>1245333333.3333333</c:v>
                </c:pt>
                <c:pt idx="1">
                  <c:v>1106166666.6666667</c:v>
                </c:pt>
                <c:pt idx="2">
                  <c:v>634300000</c:v>
                </c:pt>
                <c:pt idx="3">
                  <c:v>509033333.33333331</c:v>
                </c:pt>
                <c:pt idx="4">
                  <c:v>392533333.33333331</c:v>
                </c:pt>
                <c:pt idx="5">
                  <c:v>368766666.66666669</c:v>
                </c:pt>
                <c:pt idx="6">
                  <c:v>367000000</c:v>
                </c:pt>
                <c:pt idx="7">
                  <c:v>379466666.66666669</c:v>
                </c:pt>
                <c:pt idx="8">
                  <c:v>372466666.66666669</c:v>
                </c:pt>
                <c:pt idx="9">
                  <c:v>353200000</c:v>
                </c:pt>
                <c:pt idx="10">
                  <c:v>326066666.66666669</c:v>
                </c:pt>
              </c:numCache>
            </c:numRef>
          </c:xVal>
          <c:yVal>
            <c:numRef>
              <c:f>Beta!$B$25:$B$35</c:f>
              <c:numCache>
                <c:formatCode>General</c:formatCode>
                <c:ptCount val="11"/>
                <c:pt idx="0">
                  <c:v>2288206202.9101024</c:v>
                </c:pt>
                <c:pt idx="1">
                  <c:v>2003963431.0588555</c:v>
                </c:pt>
                <c:pt idx="2">
                  <c:v>1040193208.7052623</c:v>
                </c:pt>
                <c:pt idx="3">
                  <c:v>784340672.98861885</c:v>
                </c:pt>
                <c:pt idx="4">
                  <c:v>546393729.84607792</c:v>
                </c:pt>
                <c:pt idx="5">
                  <c:v>497851191.80297887</c:v>
                </c:pt>
                <c:pt idx="6">
                  <c:v>494242840.44774139</c:v>
                </c:pt>
                <c:pt idx="7">
                  <c:v>519705546.23752975</c:v>
                </c:pt>
                <c:pt idx="8">
                  <c:v>505408305.01866472</c:v>
                </c:pt>
                <c:pt idx="9">
                  <c:v>466056850.61626446</c:v>
                </c:pt>
                <c:pt idx="10">
                  <c:v>410638020.36790168</c:v>
                </c:pt>
              </c:numCache>
            </c:numRef>
          </c:yVal>
          <c:smooth val="0"/>
        </c:ser>
        <c:dLbls>
          <c:showLegendKey val="0"/>
          <c:showVal val="0"/>
          <c:showCatName val="0"/>
          <c:showSerName val="0"/>
          <c:showPercent val="0"/>
          <c:showBubbleSize val="0"/>
        </c:dLbls>
        <c:axId val="346127336"/>
        <c:axId val="346127728"/>
      </c:scatterChart>
      <c:valAx>
        <c:axId val="346127336"/>
        <c:scaling>
          <c:orientation val="minMax"/>
        </c:scaling>
        <c:delete val="0"/>
        <c:axPos val="b"/>
        <c:title>
          <c:tx>
            <c:rich>
              <a:bodyPr/>
              <a:lstStyle/>
              <a:p>
                <a:pPr>
                  <a:defRPr/>
                </a:pPr>
                <a:r>
                  <a:rPr lang="en-US"/>
                  <a:t>Average Market Value</a:t>
                </a:r>
              </a:p>
            </c:rich>
          </c:tx>
          <c:overlay val="0"/>
        </c:title>
        <c:numFmt formatCode="_-&quot;$&quot;* #,##0.00_-;\-&quot;$&quot;* #,##0.00_-;_-&quot;$&quot;* &quot;-&quot;??_-;_-@_-" sourceLinked="1"/>
        <c:majorTickMark val="out"/>
        <c:minorTickMark val="none"/>
        <c:tickLblPos val="nextTo"/>
        <c:crossAx val="346127728"/>
        <c:crosses val="autoZero"/>
        <c:crossBetween val="midCat"/>
      </c:valAx>
      <c:valAx>
        <c:axId val="346127728"/>
        <c:scaling>
          <c:orientation val="minMax"/>
        </c:scaling>
        <c:delete val="0"/>
        <c:axPos val="l"/>
        <c:title>
          <c:tx>
            <c:rich>
              <a:bodyPr/>
              <a:lstStyle/>
              <a:p>
                <a:pPr>
                  <a:defRPr/>
                </a:pPr>
                <a:r>
                  <a:rPr lang="en-US"/>
                  <a:t>Chicago Bulls Value</a:t>
                </a:r>
              </a:p>
            </c:rich>
          </c:tx>
          <c:overlay val="0"/>
        </c:title>
        <c:numFmt formatCode="_-&quot;$&quot;* #,##0.00_-;\-&quot;$&quot;* #,##0.00_-;_-&quot;$&quot;* &quot;-&quot;??_-;_-@_-" sourceLinked="1"/>
        <c:majorTickMark val="out"/>
        <c:minorTickMark val="none"/>
        <c:tickLblPos val="nextTo"/>
        <c:crossAx val="3461273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image" Target="C:%5Cmedia%5Cmagazines%5Cforbes%5C2000%5C1211%5CPacers.gif" TargetMode="External"/><Relationship Id="rId13" Type="http://schemas.openxmlformats.org/officeDocument/2006/relationships/image" Target="C:%5Cmedia%5Cmagazines%5Cforbes%5C2000%5C1211%5CROCKETS.gif" TargetMode="External"/><Relationship Id="rId18" Type="http://schemas.openxmlformats.org/officeDocument/2006/relationships/image" Target="C:%5Cmedia%5Cmagazines%5Cforbes%5C2000%5C1211%5CNets.gif" TargetMode="External"/><Relationship Id="rId26" Type="http://schemas.openxmlformats.org/officeDocument/2006/relationships/image" Target="C:%5Cmedia%5Cmagazines%5Cforbes%5C2000%5C1211%5CRaptors.gif" TargetMode="External"/><Relationship Id="rId3" Type="http://schemas.openxmlformats.org/officeDocument/2006/relationships/image" Target="C:%5Cmedia%5Cmagazines%5Cforbes%5C2000%5C1211%5CBulls.gif" TargetMode="External"/><Relationship Id="rId21" Type="http://schemas.openxmlformats.org/officeDocument/2006/relationships/image" Target="C:%5Cmedia%5Cmagazines%5Cforbes%5C2000%5C1211%5CTimberwolves.gif" TargetMode="External"/><Relationship Id="rId7" Type="http://schemas.openxmlformats.org/officeDocument/2006/relationships/image" Target="C:%5Cmedia%5Cmagazines%5Cforbes%5C2000%5C1211%5C76ers.gif" TargetMode="External"/><Relationship Id="rId12" Type="http://schemas.openxmlformats.org/officeDocument/2006/relationships/image" Target="C:%5Cmedia%5Cmagazines%5Cforbes%5C2000%5C1211%5CWizards.gif" TargetMode="External"/><Relationship Id="rId17" Type="http://schemas.openxmlformats.org/officeDocument/2006/relationships/image" Target="C:%5Cmedia%5Cmagazines%5Cforbes%5C2000%5C1211%5CHawks.gif" TargetMode="External"/><Relationship Id="rId25" Type="http://schemas.openxmlformats.org/officeDocument/2006/relationships/image" Target="C:%5Cmedia%5Cmagazines%5Cforbes%5C2000%5C1211%5CClippers.gif" TargetMode="External"/><Relationship Id="rId2" Type="http://schemas.openxmlformats.org/officeDocument/2006/relationships/image" Target="C:%5Cmedia%5Cmagazines%5Cforbes%5C2000%5C1211%5CLAKERS.gif" TargetMode="External"/><Relationship Id="rId16" Type="http://schemas.openxmlformats.org/officeDocument/2006/relationships/image" Target="C:%5Cmedia%5Cmagazines%5Cforbes%5C2000%5C1211%5CCAVS.gif" TargetMode="External"/><Relationship Id="rId20" Type="http://schemas.openxmlformats.org/officeDocument/2006/relationships/image" Target="C:%5Cmedia%5Cmagazines%5Cforbes%5C2000%5C1211%5CNuggets.gif" TargetMode="External"/><Relationship Id="rId29" Type="http://schemas.openxmlformats.org/officeDocument/2006/relationships/image" Target="C:%5Cmedia%5Cmagazines%5Cforbes%5C2000%5C1211%5CGrizzlies.gif" TargetMode="External"/><Relationship Id="rId1" Type="http://schemas.openxmlformats.org/officeDocument/2006/relationships/image" Target="C:%5Cmedia%5Cmagazines%5Cforbes%5C2000%5C1211%5CKnicks.gif" TargetMode="External"/><Relationship Id="rId6" Type="http://schemas.openxmlformats.org/officeDocument/2006/relationships/image" Target="C:%5Cmedia%5Cmagazines%5Cforbes%5C2000%5C1211%5CPistons.gif" TargetMode="External"/><Relationship Id="rId11" Type="http://schemas.openxmlformats.org/officeDocument/2006/relationships/image" Target="C:%5Cmedia%5Cmagazines%5Cforbes%5C2000%5C1211%5CCELTICS.gif" TargetMode="External"/><Relationship Id="rId24" Type="http://schemas.openxmlformats.org/officeDocument/2006/relationships/image" Target="C:%5Cmedia%5Cmagazines%5Cforbes%5C2000%5C1211%5COmag.gif" TargetMode="External"/><Relationship Id="rId5" Type="http://schemas.openxmlformats.org/officeDocument/2006/relationships/image" Target="C:%5Cmedia%5Cmagazines%5Cforbes%5C2000%5C1211%5CSuns.gif" TargetMode="External"/><Relationship Id="rId15" Type="http://schemas.openxmlformats.org/officeDocument/2006/relationships/image" Target="C:%5Cmedia%5Cmagazines%5Cforbes%5C2000%5C1211%5CSonics.gif" TargetMode="External"/><Relationship Id="rId23" Type="http://schemas.openxmlformats.org/officeDocument/2006/relationships/image" Target="C:%5Cmedia%5Cmagazines%5Cforbes%5C2000%5C1211%5CMavericks.gif" TargetMode="External"/><Relationship Id="rId28" Type="http://schemas.openxmlformats.org/officeDocument/2006/relationships/image" Target="C:%5Cmedia%5Cmagazines%5Cforbes%5C2000%5C1211%5CBucks.gif" TargetMode="External"/><Relationship Id="rId10" Type="http://schemas.openxmlformats.org/officeDocument/2006/relationships/image" Target="C:%5Cmedia%5Cmagazines%5Cforbes%5C2000%5C1211%5CHeat.gif" TargetMode="External"/><Relationship Id="rId19" Type="http://schemas.openxmlformats.org/officeDocument/2006/relationships/image" Target="C:%5Cmedia%5Cmagazines%5Cforbes%5C2000%5C1211%5CKings.gif" TargetMode="External"/><Relationship Id="rId4" Type="http://schemas.openxmlformats.org/officeDocument/2006/relationships/image" Target="C:%5Cmedia%5Cmagazines%5Cforbes%5C2000%5C1211%5CTrailBlazers.gif" TargetMode="External"/><Relationship Id="rId9" Type="http://schemas.openxmlformats.org/officeDocument/2006/relationships/image" Target="C:%5Cmedia%5Cmagazines%5Cforbes%5C2000%5C1211%5CJazz.gif" TargetMode="External"/><Relationship Id="rId14" Type="http://schemas.openxmlformats.org/officeDocument/2006/relationships/image" Target="C:%5Cmedia%5Cmagazines%5Cforbes%5C2000%5C1211%5CSasp.gif" TargetMode="External"/><Relationship Id="rId22" Type="http://schemas.openxmlformats.org/officeDocument/2006/relationships/image" Target="C:%5Cmedia%5Cmagazines%5Cforbes%5C2000%5C1211%5CWarriors.gif" TargetMode="External"/><Relationship Id="rId27" Type="http://schemas.openxmlformats.org/officeDocument/2006/relationships/image" Target="C:%5Cmedia%5Cmagazines%5Cforbes%5C2000%5C1211%5CHornets.gif" TargetMode="External"/></Relationships>
</file>

<file path=xl/drawings/drawing1.xml><?xml version="1.0" encoding="utf-8"?>
<xdr:wsDr xmlns:xdr="http://schemas.openxmlformats.org/drawingml/2006/spreadsheetDrawing" xmlns:a="http://schemas.openxmlformats.org/drawingml/2006/main">
  <xdr:twoCellAnchor>
    <xdr:from>
      <xdr:col>10</xdr:col>
      <xdr:colOff>10160</xdr:colOff>
      <xdr:row>2</xdr:row>
      <xdr:rowOff>2540</xdr:rowOff>
    </xdr:from>
    <xdr:to>
      <xdr:col>16</xdr:col>
      <xdr:colOff>558800</xdr:colOff>
      <xdr:row>15</xdr:row>
      <xdr:rowOff>170180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xdr:colOff>
      <xdr:row>17</xdr:row>
      <xdr:rowOff>2540</xdr:rowOff>
    </xdr:from>
    <xdr:to>
      <xdr:col>16</xdr:col>
      <xdr:colOff>558800</xdr:colOff>
      <xdr:row>30</xdr:row>
      <xdr:rowOff>170180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25400</xdr:colOff>
      <xdr:row>23</xdr:row>
      <xdr:rowOff>0</xdr:rowOff>
    </xdr:from>
    <xdr:to>
      <xdr:col>8</xdr:col>
      <xdr:colOff>825500</xdr:colOff>
      <xdr:row>28</xdr:row>
      <xdr:rowOff>160020</xdr:rowOff>
    </xdr:to>
    <xdr:sp macro="" textlink="">
      <xdr:nvSpPr>
        <xdr:cNvPr id="4" name="TextBox 3"/>
        <xdr:cNvSpPr txBox="1"/>
      </xdr:nvSpPr>
      <xdr:spPr>
        <a:xfrm>
          <a:off x="5321300" y="4556760"/>
          <a:ext cx="4991100" cy="1150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good gut check is that ticket sales for Nets in 2004 is around 34 million. Bulls total revenue in 2004, is almost double the Nets. Bulls revenue has nearly doubled since 2004. Thus 34 million times 4 is 136 million. Thus, the 3 million increase in FCI revenue due to Dwayne Wade accounts for around a 2% of ticket sales.</a:t>
          </a:r>
        </a:p>
        <a:p>
          <a:endParaRPr lang="en-US" sz="1100"/>
        </a:p>
        <a:p>
          <a:r>
            <a:rPr lang="en-US" sz="1100"/>
            <a:t>Expenses</a:t>
          </a:r>
          <a:r>
            <a:rPr lang="en-US" sz="1100" baseline="0"/>
            <a:t> should be low do to high fixed costs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xdr:colOff>
      <xdr:row>41</xdr:row>
      <xdr:rowOff>30480</xdr:rowOff>
    </xdr:from>
    <xdr:to>
      <xdr:col>11</xdr:col>
      <xdr:colOff>464820</xdr:colOff>
      <xdr:row>50</xdr:row>
      <xdr:rowOff>91440</xdr:rowOff>
    </xdr:to>
    <xdr:sp macro="" textlink="">
      <xdr:nvSpPr>
        <xdr:cNvPr id="2" name="TextBox 1"/>
        <xdr:cNvSpPr txBox="1"/>
      </xdr:nvSpPr>
      <xdr:spPr>
        <a:xfrm>
          <a:off x="12009120" y="8153400"/>
          <a:ext cx="6911340" cy="1844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Assume playoff chances are the same for 2017 and 2018. Without</a:t>
          </a:r>
          <a:r>
            <a:rPr lang="en-US" sz="1100" baseline="0"/>
            <a:t> Wade, tey wouldn't have made finals. </a:t>
          </a:r>
          <a:r>
            <a:rPr lang="en-US" sz="1100"/>
            <a:t>30 million in revenue is from an article about the impact of winning a finals</a:t>
          </a:r>
        </a:p>
        <a:p>
          <a:endParaRPr lang="en-US" sz="1100" baseline="0"/>
        </a:p>
        <a:p>
          <a:r>
            <a:rPr lang="en-US" sz="1100" baseline="0"/>
            <a:t>Wade has a war of 3.9 which Bulls would have made playoffs with Wade last year so I made first round probability .4</a:t>
          </a:r>
        </a:p>
        <a:p>
          <a:endParaRPr lang="en-US" sz="1100" baseline="0"/>
        </a:p>
        <a:p>
          <a:r>
            <a:rPr lang="en-US" sz="1100" baseline="0"/>
            <a:t>For conference finals probability, took middle probability of runner Up and Semi. For semi conference, usualaly there is one team out of the first 8 round games that wins so i multiplied first round probability by .125</a:t>
          </a:r>
        </a:p>
        <a:p>
          <a:endParaRPr lang="en-US" sz="1100" baseline="0"/>
        </a:p>
        <a:p>
          <a:r>
            <a:rPr lang="en-US" sz="1100" baseline="0"/>
            <a:t>Used solver to create linear conference finals  scale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846417</xdr:colOff>
      <xdr:row>12</xdr:row>
      <xdr:rowOff>2241</xdr:rowOff>
    </xdr:from>
    <xdr:to>
      <xdr:col>13</xdr:col>
      <xdr:colOff>159870</xdr:colOff>
      <xdr:row>26</xdr:row>
      <xdr:rowOff>2241</xdr:rowOff>
    </xdr:to>
    <xdr:sp macro="" textlink="">
      <xdr:nvSpPr>
        <xdr:cNvPr id="2" name="TextBox 1"/>
        <xdr:cNvSpPr txBox="1"/>
      </xdr:nvSpPr>
      <xdr:spPr>
        <a:xfrm>
          <a:off x="6312939" y="3381545"/>
          <a:ext cx="5387366" cy="2782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Merchandise outside of Arena gets shared among all teams. We assume Dwayne Wade changing teams will either not increase total NBA jersey sales because people will dispose income on another Jersey or the sharing of revenue among 30 teams</a:t>
          </a:r>
        </a:p>
        <a:p>
          <a:r>
            <a:rPr lang="en-US" sz="1100"/>
            <a:t>makes the returns fractional. We could calculate Jersey sales inside of the Arena or at a Chicacgo Bulls store for Dwayne Wade, but that is a fraction of the overall jersey sales which around 50% of the revenue will be distributed among 30 teams.</a:t>
          </a:r>
        </a:p>
        <a:p>
          <a:r>
            <a:rPr lang="en-US" sz="1100"/>
            <a:t>Even if they sold 100 Wade jersey's at each home game day, they would only receive </a:t>
          </a:r>
        </a:p>
        <a:p>
          <a:endParaRPr lang="en-US" sz="1100"/>
        </a:p>
        <a:p>
          <a:r>
            <a:rPr lang="en-US" sz="1100"/>
            <a:t>This revenue is reasonable since the Hornets in 2006, which had half the value of the Bulls, had around $102,000 in merchandise sales. Bulls revenue since 2006 has nearly doubled and its value has increased 5 fold. Thus, with an impact player moving to his hometown, it is reasonable to see revenue around 200,000</a:t>
          </a:r>
        </a:p>
        <a:p>
          <a:endParaRPr lang="en-US" sz="1100"/>
        </a:p>
        <a:p>
          <a:r>
            <a:rPr lang="en-US" sz="1100"/>
            <a:t>http://www.sportsbusinessdaily.com/Journal/Issues/2007/06/20070611/This-Weeks-News/Rare-Look-Into-NBA-Team-Biz.aspx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281940</xdr:colOff>
      <xdr:row>0</xdr:row>
      <xdr:rowOff>190500</xdr:rowOff>
    </xdr:from>
    <xdr:to>
      <xdr:col>15</xdr:col>
      <xdr:colOff>281940</xdr:colOff>
      <xdr:row>10</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281940</xdr:colOff>
      <xdr:row>2</xdr:row>
      <xdr:rowOff>190500</xdr:rowOff>
    </xdr:from>
    <xdr:to>
      <xdr:col>16</xdr:col>
      <xdr:colOff>281940</xdr:colOff>
      <xdr:row>12</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635000</xdr:rowOff>
    </xdr:to>
    <xdr:pic>
      <xdr:nvPicPr>
        <xdr:cNvPr id="2" name="Picture 29" descr="C:\media\magazines\forbes\2000\1211\Knicks.gif"/>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342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3</xdr:row>
      <xdr:rowOff>0</xdr:rowOff>
    </xdr:from>
    <xdr:to>
      <xdr:col>0</xdr:col>
      <xdr:colOff>0</xdr:colOff>
      <xdr:row>3</xdr:row>
      <xdr:rowOff>622300</xdr:rowOff>
    </xdr:to>
    <xdr:pic>
      <xdr:nvPicPr>
        <xdr:cNvPr id="3" name="Picture 28" descr="C:\media\magazines\forbes\2000\1211\LAKERS.gif"/>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0" y="533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4</xdr:row>
      <xdr:rowOff>0</xdr:rowOff>
    </xdr:from>
    <xdr:to>
      <xdr:col>0</xdr:col>
      <xdr:colOff>0</xdr:colOff>
      <xdr:row>4</xdr:row>
      <xdr:rowOff>635000</xdr:rowOff>
    </xdr:to>
    <xdr:pic>
      <xdr:nvPicPr>
        <xdr:cNvPr id="4" name="Picture 27" descr="C:\media\magazines\forbes\2000\1211\Bulls.gif"/>
        <xdr:cNvPicPr>
          <a:picLocks noChangeAspect="1" noChangeArrowheads="1"/>
        </xdr:cNvPicPr>
      </xdr:nvPicPr>
      <xdr:blipFill>
        <a:blip xmlns:r="http://schemas.openxmlformats.org/officeDocument/2006/relationships" r:link="rId3">
          <a:extLst>
            <a:ext uri="{28A0092B-C50C-407E-A947-70E740481C1C}">
              <a14:useLocalDpi xmlns:a14="http://schemas.microsoft.com/office/drawing/2010/main" val="0"/>
            </a:ext>
          </a:extLst>
        </a:blip>
        <a:srcRect/>
        <a:stretch>
          <a:fillRect/>
        </a:stretch>
      </xdr:blipFill>
      <xdr:spPr bwMode="auto">
        <a:xfrm>
          <a:off x="0" y="723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5</xdr:row>
      <xdr:rowOff>0</xdr:rowOff>
    </xdr:from>
    <xdr:to>
      <xdr:col>0</xdr:col>
      <xdr:colOff>0</xdr:colOff>
      <xdr:row>5</xdr:row>
      <xdr:rowOff>139700</xdr:rowOff>
    </xdr:to>
    <xdr:pic>
      <xdr:nvPicPr>
        <xdr:cNvPr id="5" name="Picture 26" descr="C:\media\magazines\forbes\2000\1211\TrailBlazers.gif"/>
        <xdr:cNvPicPr>
          <a:picLocks noChangeAspect="1" noChangeArrowheads="1"/>
        </xdr:cNvPicPr>
      </xdr:nvPicPr>
      <xdr:blipFill>
        <a:blip xmlns:r="http://schemas.openxmlformats.org/officeDocument/2006/relationships" r:link="rId4">
          <a:extLst>
            <a:ext uri="{28A0092B-C50C-407E-A947-70E740481C1C}">
              <a14:useLocalDpi xmlns:a14="http://schemas.microsoft.com/office/drawing/2010/main" val="0"/>
            </a:ext>
          </a:extLst>
        </a:blip>
        <a:srcRect/>
        <a:stretch>
          <a:fillRect/>
        </a:stretch>
      </xdr:blipFill>
      <xdr:spPr bwMode="auto">
        <a:xfrm>
          <a:off x="0" y="914400"/>
          <a:ext cx="0" cy="139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6</xdr:row>
      <xdr:rowOff>0</xdr:rowOff>
    </xdr:from>
    <xdr:to>
      <xdr:col>0</xdr:col>
      <xdr:colOff>0</xdr:colOff>
      <xdr:row>6</xdr:row>
      <xdr:rowOff>444500</xdr:rowOff>
    </xdr:to>
    <xdr:pic>
      <xdr:nvPicPr>
        <xdr:cNvPr id="6" name="Picture 25" descr="C:\media\magazines\forbes\2000\1211\Suns.gif"/>
        <xdr:cNvPicPr>
          <a:picLocks noChangeAspect="1" noChangeArrowheads="1"/>
        </xdr:cNvPicPr>
      </xdr:nvPicPr>
      <xdr:blipFill>
        <a:blip xmlns:r="http://schemas.openxmlformats.org/officeDocument/2006/relationships" r:link="rId5">
          <a:extLst>
            <a:ext uri="{28A0092B-C50C-407E-A947-70E740481C1C}">
              <a14:useLocalDpi xmlns:a14="http://schemas.microsoft.com/office/drawing/2010/main" val="0"/>
            </a:ext>
          </a:extLst>
        </a:blip>
        <a:srcRect/>
        <a:stretch>
          <a:fillRect/>
        </a:stretch>
      </xdr:blipFill>
      <xdr:spPr bwMode="auto">
        <a:xfrm>
          <a:off x="0" y="1104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7</xdr:row>
      <xdr:rowOff>0</xdr:rowOff>
    </xdr:from>
    <xdr:to>
      <xdr:col>0</xdr:col>
      <xdr:colOff>0</xdr:colOff>
      <xdr:row>7</xdr:row>
      <xdr:rowOff>635000</xdr:rowOff>
    </xdr:to>
    <xdr:pic>
      <xdr:nvPicPr>
        <xdr:cNvPr id="7" name="Picture 24" descr="C:\media\magazines\forbes\2000\1211\Pistons.gif"/>
        <xdr:cNvPicPr>
          <a:picLocks noChangeAspect="1" noChangeArrowheads="1"/>
        </xdr:cNvPicPr>
      </xdr:nvPicPr>
      <xdr:blipFill>
        <a:blip xmlns:r="http://schemas.openxmlformats.org/officeDocument/2006/relationships" r:link="rId6">
          <a:extLst>
            <a:ext uri="{28A0092B-C50C-407E-A947-70E740481C1C}">
              <a14:useLocalDpi xmlns:a14="http://schemas.microsoft.com/office/drawing/2010/main" val="0"/>
            </a:ext>
          </a:extLst>
        </a:blip>
        <a:srcRect/>
        <a:stretch>
          <a:fillRect/>
        </a:stretch>
      </xdr:blipFill>
      <xdr:spPr bwMode="auto">
        <a:xfrm>
          <a:off x="0" y="1295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8</xdr:row>
      <xdr:rowOff>0</xdr:rowOff>
    </xdr:from>
    <xdr:to>
      <xdr:col>0</xdr:col>
      <xdr:colOff>0</xdr:colOff>
      <xdr:row>8</xdr:row>
      <xdr:rowOff>635000</xdr:rowOff>
    </xdr:to>
    <xdr:pic>
      <xdr:nvPicPr>
        <xdr:cNvPr id="8" name="Picture 23" descr="C:\media\magazines\forbes\2000\1211\76ers.gif"/>
        <xdr:cNvPicPr>
          <a:picLocks noChangeAspect="1" noChangeArrowheads="1"/>
        </xdr:cNvPicPr>
      </xdr:nvPicPr>
      <xdr:blipFill>
        <a:blip xmlns:r="http://schemas.openxmlformats.org/officeDocument/2006/relationships" r:link="rId7">
          <a:extLst>
            <a:ext uri="{28A0092B-C50C-407E-A947-70E740481C1C}">
              <a14:useLocalDpi xmlns:a14="http://schemas.microsoft.com/office/drawing/2010/main" val="0"/>
            </a:ext>
          </a:extLst>
        </a:blip>
        <a:srcRect/>
        <a:stretch>
          <a:fillRect/>
        </a:stretch>
      </xdr:blipFill>
      <xdr:spPr bwMode="auto">
        <a:xfrm>
          <a:off x="0" y="1485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9</xdr:row>
      <xdr:rowOff>0</xdr:rowOff>
    </xdr:from>
    <xdr:to>
      <xdr:col>0</xdr:col>
      <xdr:colOff>0</xdr:colOff>
      <xdr:row>9</xdr:row>
      <xdr:rowOff>635000</xdr:rowOff>
    </xdr:to>
    <xdr:pic>
      <xdr:nvPicPr>
        <xdr:cNvPr id="9" name="Picture 22" descr="C:\media\magazines\forbes\2000\1211\Pacers.gif"/>
        <xdr:cNvPicPr>
          <a:picLocks noChangeAspect="1" noChangeArrowheads="1"/>
        </xdr:cNvPicPr>
      </xdr:nvPicPr>
      <xdr:blipFill>
        <a:blip xmlns:r="http://schemas.openxmlformats.org/officeDocument/2006/relationships" r:link="rId8">
          <a:extLst>
            <a:ext uri="{28A0092B-C50C-407E-A947-70E740481C1C}">
              <a14:useLocalDpi xmlns:a14="http://schemas.microsoft.com/office/drawing/2010/main" val="0"/>
            </a:ext>
          </a:extLst>
        </a:blip>
        <a:srcRect/>
        <a:stretch>
          <a:fillRect/>
        </a:stretch>
      </xdr:blipFill>
      <xdr:spPr bwMode="auto">
        <a:xfrm>
          <a:off x="0" y="1676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10</xdr:row>
      <xdr:rowOff>0</xdr:rowOff>
    </xdr:from>
    <xdr:to>
      <xdr:col>0</xdr:col>
      <xdr:colOff>0</xdr:colOff>
      <xdr:row>10</xdr:row>
      <xdr:rowOff>635000</xdr:rowOff>
    </xdr:to>
    <xdr:pic>
      <xdr:nvPicPr>
        <xdr:cNvPr id="10" name="Picture 21" descr="C:\media\magazines\forbes\2000\1211\Jazz.gif"/>
        <xdr:cNvPicPr>
          <a:picLocks noChangeAspect="1" noChangeArrowheads="1"/>
        </xdr:cNvPicPr>
      </xdr:nvPicPr>
      <xdr:blipFill>
        <a:blip xmlns:r="http://schemas.openxmlformats.org/officeDocument/2006/relationships" r:link="rId9">
          <a:extLst>
            <a:ext uri="{28A0092B-C50C-407E-A947-70E740481C1C}">
              <a14:useLocalDpi xmlns:a14="http://schemas.microsoft.com/office/drawing/2010/main" val="0"/>
            </a:ext>
          </a:extLst>
        </a:blip>
        <a:srcRect/>
        <a:stretch>
          <a:fillRect/>
        </a:stretch>
      </xdr:blipFill>
      <xdr:spPr bwMode="auto">
        <a:xfrm>
          <a:off x="0" y="1866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11</xdr:row>
      <xdr:rowOff>0</xdr:rowOff>
    </xdr:from>
    <xdr:to>
      <xdr:col>0</xdr:col>
      <xdr:colOff>0</xdr:colOff>
      <xdr:row>11</xdr:row>
      <xdr:rowOff>635000</xdr:rowOff>
    </xdr:to>
    <xdr:pic>
      <xdr:nvPicPr>
        <xdr:cNvPr id="11" name="Picture 20" descr="C:\media\magazines\forbes\2000\1211\Heat.gif"/>
        <xdr:cNvPicPr>
          <a:picLocks noChangeAspect="1" noChangeArrowheads="1"/>
        </xdr:cNvPicPr>
      </xdr:nvPicPr>
      <xdr:blipFill>
        <a:blip xmlns:r="http://schemas.openxmlformats.org/officeDocument/2006/relationships" r:link="rId10">
          <a:extLst>
            <a:ext uri="{28A0092B-C50C-407E-A947-70E740481C1C}">
              <a14:useLocalDpi xmlns:a14="http://schemas.microsoft.com/office/drawing/2010/main" val="0"/>
            </a:ext>
          </a:extLst>
        </a:blip>
        <a:srcRect/>
        <a:stretch>
          <a:fillRect/>
        </a:stretch>
      </xdr:blipFill>
      <xdr:spPr bwMode="auto">
        <a:xfrm>
          <a:off x="0" y="2057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12</xdr:row>
      <xdr:rowOff>0</xdr:rowOff>
    </xdr:from>
    <xdr:to>
      <xdr:col>0</xdr:col>
      <xdr:colOff>0</xdr:colOff>
      <xdr:row>12</xdr:row>
      <xdr:rowOff>635000</xdr:rowOff>
    </xdr:to>
    <xdr:pic>
      <xdr:nvPicPr>
        <xdr:cNvPr id="12" name="Picture 19" descr="C:\media\magazines\forbes\2000\1211\CELTICS.gif"/>
        <xdr:cNvPicPr>
          <a:picLocks noChangeAspect="1" noChangeArrowheads="1"/>
        </xdr:cNvPicPr>
      </xdr:nvPicPr>
      <xdr:blipFill>
        <a:blip xmlns:r="http://schemas.openxmlformats.org/officeDocument/2006/relationships" r:link="rId11">
          <a:extLst>
            <a:ext uri="{28A0092B-C50C-407E-A947-70E740481C1C}">
              <a14:useLocalDpi xmlns:a14="http://schemas.microsoft.com/office/drawing/2010/main" val="0"/>
            </a:ext>
          </a:extLst>
        </a:blip>
        <a:srcRect/>
        <a:stretch>
          <a:fillRect/>
        </a:stretch>
      </xdr:blipFill>
      <xdr:spPr bwMode="auto">
        <a:xfrm>
          <a:off x="0" y="2247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13</xdr:row>
      <xdr:rowOff>0</xdr:rowOff>
    </xdr:from>
    <xdr:to>
      <xdr:col>0</xdr:col>
      <xdr:colOff>0</xdr:colOff>
      <xdr:row>13</xdr:row>
      <xdr:rowOff>635000</xdr:rowOff>
    </xdr:to>
    <xdr:pic>
      <xdr:nvPicPr>
        <xdr:cNvPr id="13" name="Picture 18" descr="C:\media\magazines\forbes\2000\1211\Wizards.gif"/>
        <xdr:cNvPicPr>
          <a:picLocks noChangeAspect="1" noChangeArrowheads="1"/>
        </xdr:cNvPicPr>
      </xdr:nvPicPr>
      <xdr:blipFill>
        <a:blip xmlns:r="http://schemas.openxmlformats.org/officeDocument/2006/relationships" r:link="rId12">
          <a:extLst>
            <a:ext uri="{28A0092B-C50C-407E-A947-70E740481C1C}">
              <a14:useLocalDpi xmlns:a14="http://schemas.microsoft.com/office/drawing/2010/main" val="0"/>
            </a:ext>
          </a:extLst>
        </a:blip>
        <a:srcRect/>
        <a:stretch>
          <a:fillRect/>
        </a:stretch>
      </xdr:blipFill>
      <xdr:spPr bwMode="auto">
        <a:xfrm>
          <a:off x="0" y="2438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14</xdr:row>
      <xdr:rowOff>0</xdr:rowOff>
    </xdr:from>
    <xdr:to>
      <xdr:col>0</xdr:col>
      <xdr:colOff>0</xdr:colOff>
      <xdr:row>14</xdr:row>
      <xdr:rowOff>635000</xdr:rowOff>
    </xdr:to>
    <xdr:pic>
      <xdr:nvPicPr>
        <xdr:cNvPr id="14" name="Picture 17" descr="C:\media\magazines\forbes\2000\1211\ROCKETS.gif"/>
        <xdr:cNvPicPr>
          <a:picLocks noChangeAspect="1" noChangeArrowheads="1"/>
        </xdr:cNvPicPr>
      </xdr:nvPicPr>
      <xdr:blipFill>
        <a:blip xmlns:r="http://schemas.openxmlformats.org/officeDocument/2006/relationships" r:link="rId13">
          <a:extLst>
            <a:ext uri="{28A0092B-C50C-407E-A947-70E740481C1C}">
              <a14:useLocalDpi xmlns:a14="http://schemas.microsoft.com/office/drawing/2010/main" val="0"/>
            </a:ext>
          </a:extLst>
        </a:blip>
        <a:srcRect/>
        <a:stretch>
          <a:fillRect/>
        </a:stretch>
      </xdr:blipFill>
      <xdr:spPr bwMode="auto">
        <a:xfrm>
          <a:off x="0" y="2628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15</xdr:row>
      <xdr:rowOff>0</xdr:rowOff>
    </xdr:from>
    <xdr:to>
      <xdr:col>0</xdr:col>
      <xdr:colOff>38100</xdr:colOff>
      <xdr:row>15</xdr:row>
      <xdr:rowOff>622300</xdr:rowOff>
    </xdr:to>
    <xdr:pic>
      <xdr:nvPicPr>
        <xdr:cNvPr id="15" name="Picture 16" descr="C:\media\magazines\forbes\2000\1211\Sasp.gif"/>
        <xdr:cNvPicPr>
          <a:picLocks noChangeAspect="1" noChangeArrowheads="1"/>
        </xdr:cNvPicPr>
      </xdr:nvPicPr>
      <xdr:blipFill>
        <a:blip xmlns:r="http://schemas.openxmlformats.org/officeDocument/2006/relationships" r:link="rId14">
          <a:extLst>
            <a:ext uri="{28A0092B-C50C-407E-A947-70E740481C1C}">
              <a14:useLocalDpi xmlns:a14="http://schemas.microsoft.com/office/drawing/2010/main" val="0"/>
            </a:ext>
          </a:extLst>
        </a:blip>
        <a:srcRect/>
        <a:stretch>
          <a:fillRect/>
        </a:stretch>
      </xdr:blipFill>
      <xdr:spPr bwMode="auto">
        <a:xfrm>
          <a:off x="0" y="2819400"/>
          <a:ext cx="3810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16</xdr:row>
      <xdr:rowOff>0</xdr:rowOff>
    </xdr:from>
    <xdr:to>
      <xdr:col>0</xdr:col>
      <xdr:colOff>0</xdr:colOff>
      <xdr:row>16</xdr:row>
      <xdr:rowOff>635000</xdr:rowOff>
    </xdr:to>
    <xdr:pic>
      <xdr:nvPicPr>
        <xdr:cNvPr id="16" name="Picture 15" descr="C:\media\magazines\forbes\2000\1211\Sonics.gif"/>
        <xdr:cNvPicPr>
          <a:picLocks noChangeAspect="1" noChangeArrowheads="1"/>
        </xdr:cNvPicPr>
      </xdr:nvPicPr>
      <xdr:blipFill>
        <a:blip xmlns:r="http://schemas.openxmlformats.org/officeDocument/2006/relationships" r:link="rId15">
          <a:extLst>
            <a:ext uri="{28A0092B-C50C-407E-A947-70E740481C1C}">
              <a14:useLocalDpi xmlns:a14="http://schemas.microsoft.com/office/drawing/2010/main" val="0"/>
            </a:ext>
          </a:extLst>
        </a:blip>
        <a:srcRect/>
        <a:stretch>
          <a:fillRect/>
        </a:stretch>
      </xdr:blipFill>
      <xdr:spPr bwMode="auto">
        <a:xfrm>
          <a:off x="0" y="3009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17</xdr:row>
      <xdr:rowOff>0</xdr:rowOff>
    </xdr:from>
    <xdr:to>
      <xdr:col>0</xdr:col>
      <xdr:colOff>0</xdr:colOff>
      <xdr:row>17</xdr:row>
      <xdr:rowOff>635000</xdr:rowOff>
    </xdr:to>
    <xdr:pic>
      <xdr:nvPicPr>
        <xdr:cNvPr id="17" name="Picture 14" descr="C:\media\magazines\forbes\2000\1211\CAVS.gif"/>
        <xdr:cNvPicPr>
          <a:picLocks noChangeAspect="1" noChangeArrowheads="1"/>
        </xdr:cNvPicPr>
      </xdr:nvPicPr>
      <xdr:blipFill>
        <a:blip xmlns:r="http://schemas.openxmlformats.org/officeDocument/2006/relationships" r:link="rId16">
          <a:extLst>
            <a:ext uri="{28A0092B-C50C-407E-A947-70E740481C1C}">
              <a14:useLocalDpi xmlns:a14="http://schemas.microsoft.com/office/drawing/2010/main" val="0"/>
            </a:ext>
          </a:extLst>
        </a:blip>
        <a:srcRect/>
        <a:stretch>
          <a:fillRect/>
        </a:stretch>
      </xdr:blipFill>
      <xdr:spPr bwMode="auto">
        <a:xfrm>
          <a:off x="0" y="3200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18</xdr:row>
      <xdr:rowOff>0</xdr:rowOff>
    </xdr:from>
    <xdr:to>
      <xdr:col>0</xdr:col>
      <xdr:colOff>38100</xdr:colOff>
      <xdr:row>18</xdr:row>
      <xdr:rowOff>635000</xdr:rowOff>
    </xdr:to>
    <xdr:pic>
      <xdr:nvPicPr>
        <xdr:cNvPr id="18" name="Picture 13" descr="C:\media\magazines\forbes\2000\1211\Hawks.gif"/>
        <xdr:cNvPicPr>
          <a:picLocks noChangeAspect="1" noChangeArrowheads="1"/>
        </xdr:cNvPicPr>
      </xdr:nvPicPr>
      <xdr:blipFill>
        <a:blip xmlns:r="http://schemas.openxmlformats.org/officeDocument/2006/relationships" r:link="rId17">
          <a:extLst>
            <a:ext uri="{28A0092B-C50C-407E-A947-70E740481C1C}">
              <a14:useLocalDpi xmlns:a14="http://schemas.microsoft.com/office/drawing/2010/main" val="0"/>
            </a:ext>
          </a:extLst>
        </a:blip>
        <a:srcRect/>
        <a:stretch>
          <a:fillRect/>
        </a:stretch>
      </xdr:blipFill>
      <xdr:spPr bwMode="auto">
        <a:xfrm>
          <a:off x="0" y="3390900"/>
          <a:ext cx="3810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19</xdr:row>
      <xdr:rowOff>0</xdr:rowOff>
    </xdr:from>
    <xdr:to>
      <xdr:col>0</xdr:col>
      <xdr:colOff>0</xdr:colOff>
      <xdr:row>19</xdr:row>
      <xdr:rowOff>635000</xdr:rowOff>
    </xdr:to>
    <xdr:pic>
      <xdr:nvPicPr>
        <xdr:cNvPr id="19" name="Picture 12" descr="C:\media\magazines\forbes\2000\1211\Nets.gif"/>
        <xdr:cNvPicPr>
          <a:picLocks noChangeAspect="1" noChangeArrowheads="1"/>
        </xdr:cNvPicPr>
      </xdr:nvPicPr>
      <xdr:blipFill>
        <a:blip xmlns:r="http://schemas.openxmlformats.org/officeDocument/2006/relationships" r:link="rId18">
          <a:extLst>
            <a:ext uri="{28A0092B-C50C-407E-A947-70E740481C1C}">
              <a14:useLocalDpi xmlns:a14="http://schemas.microsoft.com/office/drawing/2010/main" val="0"/>
            </a:ext>
          </a:extLst>
        </a:blip>
        <a:srcRect/>
        <a:stretch>
          <a:fillRect/>
        </a:stretch>
      </xdr:blipFill>
      <xdr:spPr bwMode="auto">
        <a:xfrm>
          <a:off x="0" y="3581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20</xdr:row>
      <xdr:rowOff>0</xdr:rowOff>
    </xdr:from>
    <xdr:to>
      <xdr:col>0</xdr:col>
      <xdr:colOff>0</xdr:colOff>
      <xdr:row>20</xdr:row>
      <xdr:rowOff>635000</xdr:rowOff>
    </xdr:to>
    <xdr:pic>
      <xdr:nvPicPr>
        <xdr:cNvPr id="20" name="Picture 11" descr="C:\media\magazines\forbes\2000\1211\Kings.gif"/>
        <xdr:cNvPicPr>
          <a:picLocks noChangeAspect="1" noChangeArrowheads="1"/>
        </xdr:cNvPicPr>
      </xdr:nvPicPr>
      <xdr:blipFill>
        <a:blip xmlns:r="http://schemas.openxmlformats.org/officeDocument/2006/relationships" r:link="rId19">
          <a:extLst>
            <a:ext uri="{28A0092B-C50C-407E-A947-70E740481C1C}">
              <a14:useLocalDpi xmlns:a14="http://schemas.microsoft.com/office/drawing/2010/main" val="0"/>
            </a:ext>
          </a:extLst>
        </a:blip>
        <a:srcRect/>
        <a:stretch>
          <a:fillRect/>
        </a:stretch>
      </xdr:blipFill>
      <xdr:spPr bwMode="auto">
        <a:xfrm>
          <a:off x="0" y="3771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21</xdr:row>
      <xdr:rowOff>0</xdr:rowOff>
    </xdr:from>
    <xdr:to>
      <xdr:col>0</xdr:col>
      <xdr:colOff>0</xdr:colOff>
      <xdr:row>21</xdr:row>
      <xdr:rowOff>635000</xdr:rowOff>
    </xdr:to>
    <xdr:pic>
      <xdr:nvPicPr>
        <xdr:cNvPr id="21" name="Picture 10" descr="C:\media\magazines\forbes\2000\1211\Nuggets.gif"/>
        <xdr:cNvPicPr>
          <a:picLocks noChangeAspect="1" noChangeArrowheads="1"/>
        </xdr:cNvPicPr>
      </xdr:nvPicPr>
      <xdr:blipFill>
        <a:blip xmlns:r="http://schemas.openxmlformats.org/officeDocument/2006/relationships" r:link="rId20">
          <a:extLst>
            <a:ext uri="{28A0092B-C50C-407E-A947-70E740481C1C}">
              <a14:useLocalDpi xmlns:a14="http://schemas.microsoft.com/office/drawing/2010/main" val="0"/>
            </a:ext>
          </a:extLst>
        </a:blip>
        <a:srcRect/>
        <a:stretch>
          <a:fillRect/>
        </a:stretch>
      </xdr:blipFill>
      <xdr:spPr bwMode="auto">
        <a:xfrm>
          <a:off x="0" y="3962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22</xdr:row>
      <xdr:rowOff>0</xdr:rowOff>
    </xdr:from>
    <xdr:to>
      <xdr:col>0</xdr:col>
      <xdr:colOff>0</xdr:colOff>
      <xdr:row>22</xdr:row>
      <xdr:rowOff>635000</xdr:rowOff>
    </xdr:to>
    <xdr:pic>
      <xdr:nvPicPr>
        <xdr:cNvPr id="22" name="Picture 9" descr="C:\media\magazines\forbes\2000\1211\Timberwolves.gif"/>
        <xdr:cNvPicPr>
          <a:picLocks noChangeAspect="1" noChangeArrowheads="1"/>
        </xdr:cNvPicPr>
      </xdr:nvPicPr>
      <xdr:blipFill>
        <a:blip xmlns:r="http://schemas.openxmlformats.org/officeDocument/2006/relationships" r:link="rId21">
          <a:extLst>
            <a:ext uri="{28A0092B-C50C-407E-A947-70E740481C1C}">
              <a14:useLocalDpi xmlns:a14="http://schemas.microsoft.com/office/drawing/2010/main" val="0"/>
            </a:ext>
          </a:extLst>
        </a:blip>
        <a:srcRect/>
        <a:stretch>
          <a:fillRect/>
        </a:stretch>
      </xdr:blipFill>
      <xdr:spPr bwMode="auto">
        <a:xfrm>
          <a:off x="0" y="4152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23</xdr:row>
      <xdr:rowOff>0</xdr:rowOff>
    </xdr:from>
    <xdr:to>
      <xdr:col>0</xdr:col>
      <xdr:colOff>0</xdr:colOff>
      <xdr:row>23</xdr:row>
      <xdr:rowOff>635000</xdr:rowOff>
    </xdr:to>
    <xdr:pic>
      <xdr:nvPicPr>
        <xdr:cNvPr id="23" name="Picture 8" descr="C:\media\magazines\forbes\2000\1211\Warriors.gif"/>
        <xdr:cNvPicPr>
          <a:picLocks noChangeAspect="1" noChangeArrowheads="1"/>
        </xdr:cNvPicPr>
      </xdr:nvPicPr>
      <xdr:blipFill>
        <a:blip xmlns:r="http://schemas.openxmlformats.org/officeDocument/2006/relationships" r:link="rId22">
          <a:extLst>
            <a:ext uri="{28A0092B-C50C-407E-A947-70E740481C1C}">
              <a14:useLocalDpi xmlns:a14="http://schemas.microsoft.com/office/drawing/2010/main" val="0"/>
            </a:ext>
          </a:extLst>
        </a:blip>
        <a:srcRect/>
        <a:stretch>
          <a:fillRect/>
        </a:stretch>
      </xdr:blipFill>
      <xdr:spPr bwMode="auto">
        <a:xfrm>
          <a:off x="0" y="4343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24</xdr:row>
      <xdr:rowOff>0</xdr:rowOff>
    </xdr:from>
    <xdr:to>
      <xdr:col>0</xdr:col>
      <xdr:colOff>241300</xdr:colOff>
      <xdr:row>24</xdr:row>
      <xdr:rowOff>584200</xdr:rowOff>
    </xdr:to>
    <xdr:pic>
      <xdr:nvPicPr>
        <xdr:cNvPr id="24" name="Picture 7" descr="C:\media\magazines\forbes\2000\1211\Mavericks.gif"/>
        <xdr:cNvPicPr>
          <a:picLocks noChangeAspect="1" noChangeArrowheads="1"/>
        </xdr:cNvPicPr>
      </xdr:nvPicPr>
      <xdr:blipFill>
        <a:blip xmlns:r="http://schemas.openxmlformats.org/officeDocument/2006/relationships" r:link="rId23">
          <a:extLst>
            <a:ext uri="{28A0092B-C50C-407E-A947-70E740481C1C}">
              <a14:useLocalDpi xmlns:a14="http://schemas.microsoft.com/office/drawing/2010/main" val="0"/>
            </a:ext>
          </a:extLst>
        </a:blip>
        <a:srcRect/>
        <a:stretch>
          <a:fillRect/>
        </a:stretch>
      </xdr:blipFill>
      <xdr:spPr bwMode="auto">
        <a:xfrm>
          <a:off x="0" y="4533900"/>
          <a:ext cx="24130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25</xdr:row>
      <xdr:rowOff>0</xdr:rowOff>
    </xdr:from>
    <xdr:to>
      <xdr:col>0</xdr:col>
      <xdr:colOff>241300</xdr:colOff>
      <xdr:row>25</xdr:row>
      <xdr:rowOff>495300</xdr:rowOff>
    </xdr:to>
    <xdr:pic>
      <xdr:nvPicPr>
        <xdr:cNvPr id="25" name="Picture 6" descr="C:\media\magazines\forbes\2000\1211\Omag.gif"/>
        <xdr:cNvPicPr>
          <a:picLocks noChangeAspect="1" noChangeArrowheads="1"/>
        </xdr:cNvPicPr>
      </xdr:nvPicPr>
      <xdr:blipFill>
        <a:blip xmlns:r="http://schemas.openxmlformats.org/officeDocument/2006/relationships" r:link="rId24">
          <a:extLst>
            <a:ext uri="{28A0092B-C50C-407E-A947-70E740481C1C}">
              <a14:useLocalDpi xmlns:a14="http://schemas.microsoft.com/office/drawing/2010/main" val="0"/>
            </a:ext>
          </a:extLst>
        </a:blip>
        <a:srcRect/>
        <a:stretch>
          <a:fillRect/>
        </a:stretch>
      </xdr:blipFill>
      <xdr:spPr bwMode="auto">
        <a:xfrm>
          <a:off x="0" y="4724400"/>
          <a:ext cx="24130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26</xdr:row>
      <xdr:rowOff>0</xdr:rowOff>
    </xdr:from>
    <xdr:to>
      <xdr:col>0</xdr:col>
      <xdr:colOff>0</xdr:colOff>
      <xdr:row>26</xdr:row>
      <xdr:rowOff>635000</xdr:rowOff>
    </xdr:to>
    <xdr:pic>
      <xdr:nvPicPr>
        <xdr:cNvPr id="26" name="Picture 5" descr="C:\media\magazines\forbes\2000\1211\Clippers.gif"/>
        <xdr:cNvPicPr>
          <a:picLocks noChangeAspect="1" noChangeArrowheads="1"/>
        </xdr:cNvPicPr>
      </xdr:nvPicPr>
      <xdr:blipFill>
        <a:blip xmlns:r="http://schemas.openxmlformats.org/officeDocument/2006/relationships" r:link="rId25">
          <a:extLst>
            <a:ext uri="{28A0092B-C50C-407E-A947-70E740481C1C}">
              <a14:useLocalDpi xmlns:a14="http://schemas.microsoft.com/office/drawing/2010/main" val="0"/>
            </a:ext>
          </a:extLst>
        </a:blip>
        <a:srcRect/>
        <a:stretch>
          <a:fillRect/>
        </a:stretch>
      </xdr:blipFill>
      <xdr:spPr bwMode="auto">
        <a:xfrm>
          <a:off x="0" y="4914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27</xdr:row>
      <xdr:rowOff>0</xdr:rowOff>
    </xdr:from>
    <xdr:to>
      <xdr:col>0</xdr:col>
      <xdr:colOff>0</xdr:colOff>
      <xdr:row>27</xdr:row>
      <xdr:rowOff>635000</xdr:rowOff>
    </xdr:to>
    <xdr:pic>
      <xdr:nvPicPr>
        <xdr:cNvPr id="27" name="Picture 4" descr="C:\media\magazines\forbes\2000\1211\Raptors.gif"/>
        <xdr:cNvPicPr>
          <a:picLocks noChangeAspect="1" noChangeArrowheads="1"/>
        </xdr:cNvPicPr>
      </xdr:nvPicPr>
      <xdr:blipFill>
        <a:blip xmlns:r="http://schemas.openxmlformats.org/officeDocument/2006/relationships" r:link="rId26">
          <a:extLst>
            <a:ext uri="{28A0092B-C50C-407E-A947-70E740481C1C}">
              <a14:useLocalDpi xmlns:a14="http://schemas.microsoft.com/office/drawing/2010/main" val="0"/>
            </a:ext>
          </a:extLst>
        </a:blip>
        <a:srcRect/>
        <a:stretch>
          <a:fillRect/>
        </a:stretch>
      </xdr:blipFill>
      <xdr:spPr bwMode="auto">
        <a:xfrm>
          <a:off x="0" y="5105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28</xdr:row>
      <xdr:rowOff>0</xdr:rowOff>
    </xdr:from>
    <xdr:to>
      <xdr:col>0</xdr:col>
      <xdr:colOff>0</xdr:colOff>
      <xdr:row>28</xdr:row>
      <xdr:rowOff>635000</xdr:rowOff>
    </xdr:to>
    <xdr:pic>
      <xdr:nvPicPr>
        <xdr:cNvPr id="28" name="Picture 3" descr="C:\media\magazines\forbes\2000\1211\Hornets.gif"/>
        <xdr:cNvPicPr>
          <a:picLocks noChangeAspect="1" noChangeArrowheads="1"/>
        </xdr:cNvPicPr>
      </xdr:nvPicPr>
      <xdr:blipFill>
        <a:blip xmlns:r="http://schemas.openxmlformats.org/officeDocument/2006/relationships" r:link="rId27">
          <a:extLst>
            <a:ext uri="{28A0092B-C50C-407E-A947-70E740481C1C}">
              <a14:useLocalDpi xmlns:a14="http://schemas.microsoft.com/office/drawing/2010/main" val="0"/>
            </a:ext>
          </a:extLst>
        </a:blip>
        <a:srcRect/>
        <a:stretch>
          <a:fillRect/>
        </a:stretch>
      </xdr:blipFill>
      <xdr:spPr bwMode="auto">
        <a:xfrm>
          <a:off x="0" y="5295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29</xdr:row>
      <xdr:rowOff>0</xdr:rowOff>
    </xdr:from>
    <xdr:to>
      <xdr:col>0</xdr:col>
      <xdr:colOff>0</xdr:colOff>
      <xdr:row>29</xdr:row>
      <xdr:rowOff>635000</xdr:rowOff>
    </xdr:to>
    <xdr:pic>
      <xdr:nvPicPr>
        <xdr:cNvPr id="29" name="Picture 2" descr="C:\media\magazines\forbes\2000\1211\Bucks.gif"/>
        <xdr:cNvPicPr>
          <a:picLocks noChangeAspect="1" noChangeArrowheads="1"/>
        </xdr:cNvPicPr>
      </xdr:nvPicPr>
      <xdr:blipFill>
        <a:blip xmlns:r="http://schemas.openxmlformats.org/officeDocument/2006/relationships" r:link="rId28">
          <a:extLst>
            <a:ext uri="{28A0092B-C50C-407E-A947-70E740481C1C}">
              <a14:useLocalDpi xmlns:a14="http://schemas.microsoft.com/office/drawing/2010/main" val="0"/>
            </a:ext>
          </a:extLst>
        </a:blip>
        <a:srcRect/>
        <a:stretch>
          <a:fillRect/>
        </a:stretch>
      </xdr:blipFill>
      <xdr:spPr bwMode="auto">
        <a:xfrm>
          <a:off x="0" y="54864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30</xdr:row>
      <xdr:rowOff>0</xdr:rowOff>
    </xdr:from>
    <xdr:to>
      <xdr:col>0</xdr:col>
      <xdr:colOff>0</xdr:colOff>
      <xdr:row>30</xdr:row>
      <xdr:rowOff>635000</xdr:rowOff>
    </xdr:to>
    <xdr:pic>
      <xdr:nvPicPr>
        <xdr:cNvPr id="30" name="Picture 1" descr="C:\media\magazines\forbes\2000\1211\Grizzlies.gif"/>
        <xdr:cNvPicPr>
          <a:picLocks noChangeAspect="1" noChangeArrowheads="1"/>
        </xdr:cNvPicPr>
      </xdr:nvPicPr>
      <xdr:blipFill>
        <a:blip xmlns:r="http://schemas.openxmlformats.org/officeDocument/2006/relationships" r:link="rId29">
          <a:extLst>
            <a:ext uri="{28A0092B-C50C-407E-A947-70E740481C1C}">
              <a14:useLocalDpi xmlns:a14="http://schemas.microsoft.com/office/drawing/2010/main" val="0"/>
            </a:ext>
          </a:extLst>
        </a:blip>
        <a:srcRect/>
        <a:stretch>
          <a:fillRect/>
        </a:stretch>
      </xdr:blipFill>
      <xdr:spPr bwMode="auto">
        <a:xfrm>
          <a:off x="0" y="5676900"/>
          <a:ext cx="0" cy="190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8" Type="http://schemas.openxmlformats.org/officeDocument/2006/relationships/hyperlink" Target="http://www.forbes.com/teams/dallas-mavericks/" TargetMode="External"/><Relationship Id="rId13" Type="http://schemas.openxmlformats.org/officeDocument/2006/relationships/hyperlink" Target="http://www.forbes.com/teams/los-angeles-clippers/" TargetMode="External"/><Relationship Id="rId18" Type="http://schemas.openxmlformats.org/officeDocument/2006/relationships/hyperlink" Target="http://www.forbes.com/teams/toronto-raptors/" TargetMode="External"/><Relationship Id="rId26" Type="http://schemas.openxmlformats.org/officeDocument/2006/relationships/hyperlink" Target="http://www.forbes.com/teams/minnesota-timberwolves/" TargetMode="External"/><Relationship Id="rId3" Type="http://schemas.openxmlformats.org/officeDocument/2006/relationships/hyperlink" Target="http://www.forbes.com/teams/chicago-bulls/" TargetMode="External"/><Relationship Id="rId21" Type="http://schemas.openxmlformats.org/officeDocument/2006/relationships/hyperlink" Target="http://www.forbes.com/teams/washington-wizards/" TargetMode="External"/><Relationship Id="rId7" Type="http://schemas.openxmlformats.org/officeDocument/2006/relationships/hyperlink" Target="http://www.forbes.com/teams/miami-heat/" TargetMode="External"/><Relationship Id="rId12" Type="http://schemas.openxmlformats.org/officeDocument/2006/relationships/hyperlink" Target="http://www.forbes.com/teams/portland-trail-blazers/" TargetMode="External"/><Relationship Id="rId17" Type="http://schemas.openxmlformats.org/officeDocument/2006/relationships/hyperlink" Target="http://www.forbes.com/teams/utah-jazz/" TargetMode="External"/><Relationship Id="rId25" Type="http://schemas.openxmlformats.org/officeDocument/2006/relationships/hyperlink" Target="http://www.forbes.com/teams/detroit-pistons/" TargetMode="External"/><Relationship Id="rId2" Type="http://schemas.openxmlformats.org/officeDocument/2006/relationships/hyperlink" Target="http://www.forbes.com/teams/los-angeles-lakers/" TargetMode="External"/><Relationship Id="rId16" Type="http://schemas.openxmlformats.org/officeDocument/2006/relationships/hyperlink" Target="http://www.forbes.com/teams/sacramento-kings/" TargetMode="External"/><Relationship Id="rId20" Type="http://schemas.openxmlformats.org/officeDocument/2006/relationships/hyperlink" Target="http://www.forbes.com/teams/denver-nuggets/" TargetMode="External"/><Relationship Id="rId29" Type="http://schemas.openxmlformats.org/officeDocument/2006/relationships/hyperlink" Target="http://www.forbes.com/teams/charlotte-bobcats/" TargetMode="External"/><Relationship Id="rId1" Type="http://schemas.openxmlformats.org/officeDocument/2006/relationships/hyperlink" Target="http://www.forbes.com/teams/new-york-knicks/" TargetMode="External"/><Relationship Id="rId6" Type="http://schemas.openxmlformats.org/officeDocument/2006/relationships/hyperlink" Target="http://www.forbes.com/teams/houston-rockets/" TargetMode="External"/><Relationship Id="rId11" Type="http://schemas.openxmlformats.org/officeDocument/2006/relationships/hyperlink" Target="http://www.forbes.com/teams/oklahoma-city-thunder/" TargetMode="External"/><Relationship Id="rId24" Type="http://schemas.openxmlformats.org/officeDocument/2006/relationships/hyperlink" Target="http://www.forbes.com/teams/memphis-grizzlies/" TargetMode="External"/><Relationship Id="rId5" Type="http://schemas.openxmlformats.org/officeDocument/2006/relationships/hyperlink" Target="http://www.forbes.com/teams/brooklyn-nets/" TargetMode="External"/><Relationship Id="rId15" Type="http://schemas.openxmlformats.org/officeDocument/2006/relationships/hyperlink" Target="http://www.forbes.com/teams/orlando-magic/" TargetMode="External"/><Relationship Id="rId23" Type="http://schemas.openxmlformats.org/officeDocument/2006/relationships/hyperlink" Target="http://www.forbes.com/teams/philadelphia-76ers/" TargetMode="External"/><Relationship Id="rId28" Type="http://schemas.openxmlformats.org/officeDocument/2006/relationships/hyperlink" Target="http://www.forbes.com/teams/new-orleans-pelicans/" TargetMode="External"/><Relationship Id="rId10" Type="http://schemas.openxmlformats.org/officeDocument/2006/relationships/hyperlink" Target="http://www.forbes.com/teams/san-antonio-spurs/" TargetMode="External"/><Relationship Id="rId19" Type="http://schemas.openxmlformats.org/officeDocument/2006/relationships/hyperlink" Target="http://www.forbes.com/teams/cleveland-cavaliers/" TargetMode="External"/><Relationship Id="rId4" Type="http://schemas.openxmlformats.org/officeDocument/2006/relationships/hyperlink" Target="http://www.forbes.com/teams/boston-celtics/" TargetMode="External"/><Relationship Id="rId9" Type="http://schemas.openxmlformats.org/officeDocument/2006/relationships/hyperlink" Target="http://www.forbes.com/teams/golden-state-warriors/" TargetMode="External"/><Relationship Id="rId14" Type="http://schemas.openxmlformats.org/officeDocument/2006/relationships/hyperlink" Target="http://www.forbes.com/teams/phoenix-suns/" TargetMode="External"/><Relationship Id="rId22" Type="http://schemas.openxmlformats.org/officeDocument/2006/relationships/hyperlink" Target="http://www.forbes.com/teams/indiana-pacers/" TargetMode="External"/><Relationship Id="rId27" Type="http://schemas.openxmlformats.org/officeDocument/2006/relationships/hyperlink" Target="http://www.forbes.com/teams/atlanta-hawks/" TargetMode="External"/><Relationship Id="rId30" Type="http://schemas.openxmlformats.org/officeDocument/2006/relationships/hyperlink" Target="http://www.forbes.com/teams/milwaukee-bucks/"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www.forbes.com/teams/golden-state-warriors/" TargetMode="External"/><Relationship Id="rId13" Type="http://schemas.openxmlformats.org/officeDocument/2006/relationships/hyperlink" Target="http://www.forbes.com/teams/phoenix-suns/" TargetMode="External"/><Relationship Id="rId18" Type="http://schemas.openxmlformats.org/officeDocument/2006/relationships/hyperlink" Target="http://www.forbes.com/teams/los-angeles-clippers/" TargetMode="External"/><Relationship Id="rId26" Type="http://schemas.openxmlformats.org/officeDocument/2006/relationships/hyperlink" Target="http://www.forbes.com/teams/minnesota-timberwolves/" TargetMode="External"/><Relationship Id="rId3" Type="http://schemas.openxmlformats.org/officeDocument/2006/relationships/hyperlink" Target="http://www.forbes.com/teams/chicago-bulls/" TargetMode="External"/><Relationship Id="rId21" Type="http://schemas.openxmlformats.org/officeDocument/2006/relationships/hyperlink" Target="http://www.forbes.com/teams/toronto-raptors/" TargetMode="External"/><Relationship Id="rId7" Type="http://schemas.openxmlformats.org/officeDocument/2006/relationships/hyperlink" Target="http://www.forbes.com/teams/houston-rockets/" TargetMode="External"/><Relationship Id="rId12" Type="http://schemas.openxmlformats.org/officeDocument/2006/relationships/hyperlink" Target="http://www.forbes.com/teams/oklahoma-city-thunder/" TargetMode="External"/><Relationship Id="rId17" Type="http://schemas.openxmlformats.org/officeDocument/2006/relationships/hyperlink" Target="http://www.forbes.com/teams/utah-jazz/" TargetMode="External"/><Relationship Id="rId25" Type="http://schemas.openxmlformats.org/officeDocument/2006/relationships/hyperlink" Target="http://www.forbes.com/teams/memphis-grizzlies/" TargetMode="External"/><Relationship Id="rId2" Type="http://schemas.openxmlformats.org/officeDocument/2006/relationships/hyperlink" Target="http://www.forbes.com/teams/los-angeles-lakers/" TargetMode="External"/><Relationship Id="rId16" Type="http://schemas.openxmlformats.org/officeDocument/2006/relationships/hyperlink" Target="http://www.forbes.com/teams/cleveland-cavaliers/" TargetMode="External"/><Relationship Id="rId20" Type="http://schemas.openxmlformats.org/officeDocument/2006/relationships/hyperlink" Target="http://www.forbes.com/teams/philadelphia-76ers/" TargetMode="External"/><Relationship Id="rId29" Type="http://schemas.openxmlformats.org/officeDocument/2006/relationships/hyperlink" Target="http://www.forbes.com/teams/charlotte-bobcats/" TargetMode="External"/><Relationship Id="rId1" Type="http://schemas.openxmlformats.org/officeDocument/2006/relationships/hyperlink" Target="http://www.forbes.com/teams/new-york-knicks/" TargetMode="External"/><Relationship Id="rId6" Type="http://schemas.openxmlformats.org/officeDocument/2006/relationships/hyperlink" Target="http://www.forbes.com/teams/miami-heat/" TargetMode="External"/><Relationship Id="rId11" Type="http://schemas.openxmlformats.org/officeDocument/2006/relationships/hyperlink" Target="http://www.forbes.com/teams/sacramento-kings/" TargetMode="External"/><Relationship Id="rId24" Type="http://schemas.openxmlformats.org/officeDocument/2006/relationships/hyperlink" Target="http://www.forbes.com/teams/indiana-pacers/" TargetMode="External"/><Relationship Id="rId5" Type="http://schemas.openxmlformats.org/officeDocument/2006/relationships/hyperlink" Target="http://www.forbes.com/teams/dallas-mavericks/" TargetMode="External"/><Relationship Id="rId15" Type="http://schemas.openxmlformats.org/officeDocument/2006/relationships/hyperlink" Target="http://www.forbes.com/teams/portland-trail-blazers/" TargetMode="External"/><Relationship Id="rId23" Type="http://schemas.openxmlformats.org/officeDocument/2006/relationships/hyperlink" Target="http://www.forbes.com/teams/washington-wizards/" TargetMode="External"/><Relationship Id="rId28" Type="http://schemas.openxmlformats.org/officeDocument/2006/relationships/hyperlink" Target="http://www.forbes.com/teams/atlanta-hawks/" TargetMode="External"/><Relationship Id="rId10" Type="http://schemas.openxmlformats.org/officeDocument/2006/relationships/hyperlink" Target="http://www.forbes.com/teams/san-antonio-spurs/" TargetMode="External"/><Relationship Id="rId19" Type="http://schemas.openxmlformats.org/officeDocument/2006/relationships/hyperlink" Target="http://www.forbes.com/teams/denver-nuggets/" TargetMode="External"/><Relationship Id="rId4" Type="http://schemas.openxmlformats.org/officeDocument/2006/relationships/hyperlink" Target="http://www.forbes.com/teams/boston-celtics/" TargetMode="External"/><Relationship Id="rId9" Type="http://schemas.openxmlformats.org/officeDocument/2006/relationships/hyperlink" Target="http://www.forbes.com/teams/brooklyn-nets/" TargetMode="External"/><Relationship Id="rId14" Type="http://schemas.openxmlformats.org/officeDocument/2006/relationships/hyperlink" Target="http://www.forbes.com/teams/orlando-magic/" TargetMode="External"/><Relationship Id="rId22" Type="http://schemas.openxmlformats.org/officeDocument/2006/relationships/hyperlink" Target="http://www.forbes.com/teams/detroit-pistons/" TargetMode="External"/><Relationship Id="rId27" Type="http://schemas.openxmlformats.org/officeDocument/2006/relationships/hyperlink" Target="http://www.forbes.com/teams/new-orleans-hornets/" TargetMode="External"/><Relationship Id="rId30" Type="http://schemas.openxmlformats.org/officeDocument/2006/relationships/hyperlink" Target="http://www.forbes.com/teams/milwaukee-bucks/"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forbes.com/lists/2008/32/nba08_Detroit-Pistons_320844.html" TargetMode="External"/><Relationship Id="rId13" Type="http://schemas.openxmlformats.org/officeDocument/2006/relationships/hyperlink" Target="http://www.forbes.com/lists/2008/32/nba08_Boston-Celtics_326173.html" TargetMode="External"/><Relationship Id="rId18" Type="http://schemas.openxmlformats.org/officeDocument/2006/relationships/hyperlink" Target="http://www.forbes.com/lists/2008/32/nba08_Utah-Jazz_322274.html" TargetMode="External"/><Relationship Id="rId26" Type="http://schemas.openxmlformats.org/officeDocument/2006/relationships/hyperlink" Target="http://www.forbes.com/lists/2008/32/nba08_Indiana-Pacers_322134.html" TargetMode="External"/><Relationship Id="rId3" Type="http://schemas.openxmlformats.org/officeDocument/2006/relationships/hyperlink" Target="http://www.forbes.com/lists/2008/32/nba08_NBA-Team-Valuations_YrChange.html" TargetMode="External"/><Relationship Id="rId21" Type="http://schemas.openxmlformats.org/officeDocument/2006/relationships/hyperlink" Target="http://www.forbes.com/lists/2008/32/nba08_Orlando-Magic_324583.html" TargetMode="External"/><Relationship Id="rId34" Type="http://schemas.openxmlformats.org/officeDocument/2006/relationships/hyperlink" Target="http://www.forbes.com/lists/2008/32/nba08_Milwaukee-Bucks_325937.html" TargetMode="External"/><Relationship Id="rId7" Type="http://schemas.openxmlformats.org/officeDocument/2006/relationships/hyperlink" Target="http://www.forbes.com/lists/2008/32/nba08_Chicago-Bulls_321267.html" TargetMode="External"/><Relationship Id="rId12" Type="http://schemas.openxmlformats.org/officeDocument/2006/relationships/hyperlink" Target="http://www.forbes.com/lists/2008/32/nba08_Phoenix-Suns_321064.html" TargetMode="External"/><Relationship Id="rId17" Type="http://schemas.openxmlformats.org/officeDocument/2006/relationships/hyperlink" Target="http://www.forbes.com/lists/2008/32/nba08_Philadelphia-76ers_321387.html" TargetMode="External"/><Relationship Id="rId25" Type="http://schemas.openxmlformats.org/officeDocument/2006/relationships/hyperlink" Target="http://www.forbes.com/lists/2008/32/nba08_Atlanta-Hawks_323662.html" TargetMode="External"/><Relationship Id="rId33" Type="http://schemas.openxmlformats.org/officeDocument/2006/relationships/hyperlink" Target="http://www.forbes.com/lists/2008/32/nba08_Charlotte-Bobcats_322435.html" TargetMode="External"/><Relationship Id="rId2" Type="http://schemas.openxmlformats.org/officeDocument/2006/relationships/hyperlink" Target="http://www.forbes.com/lists/2008/32/nba08_NBA-Team-Valuations_Value.html" TargetMode="External"/><Relationship Id="rId16" Type="http://schemas.openxmlformats.org/officeDocument/2006/relationships/hyperlink" Target="http://www.forbes.com/lists/2008/32/nba08_Miami-Heat_329036.html" TargetMode="External"/><Relationship Id="rId20" Type="http://schemas.openxmlformats.org/officeDocument/2006/relationships/hyperlink" Target="http://www.forbes.com/lists/2008/32/nba08_Sacramento-Kings_327146.html" TargetMode="External"/><Relationship Id="rId29" Type="http://schemas.openxmlformats.org/officeDocument/2006/relationships/hyperlink" Target="http://www.forbes.com/lists/2008/32/nba08_Los-Angeles-Clippers_322952.html" TargetMode="External"/><Relationship Id="rId1" Type="http://schemas.openxmlformats.org/officeDocument/2006/relationships/hyperlink" Target="http://www.forbes.com/lists/2008/32/nba08_NBA-Team-Valuations_MetroArea.html" TargetMode="External"/><Relationship Id="rId6" Type="http://schemas.openxmlformats.org/officeDocument/2006/relationships/hyperlink" Target="http://www.forbes.com/lists/2008/32/nba08_Los-Angeles-Lakers_320250.html" TargetMode="External"/><Relationship Id="rId11" Type="http://schemas.openxmlformats.org/officeDocument/2006/relationships/hyperlink" Target="http://www.forbes.com/lists/2008/32/nba08_Dallas-Mavericks_324736.html" TargetMode="External"/><Relationship Id="rId24" Type="http://schemas.openxmlformats.org/officeDocument/2006/relationships/hyperlink" Target="http://www.forbes.com/lists/2008/32/nba08_Portland-Trail-Blazers_324837.html" TargetMode="External"/><Relationship Id="rId32" Type="http://schemas.openxmlformats.org/officeDocument/2006/relationships/hyperlink" Target="http://www.forbes.com/lists/2008/32/nba08_New-Orleans-Hornets_328959.html" TargetMode="External"/><Relationship Id="rId5" Type="http://schemas.openxmlformats.org/officeDocument/2006/relationships/hyperlink" Target="http://www.forbes.com/lists/2008/32/nba08_New-York-Knicks_328815.html" TargetMode="External"/><Relationship Id="rId15" Type="http://schemas.openxmlformats.org/officeDocument/2006/relationships/hyperlink" Target="http://www.forbes.com/lists/2008/32/nba08_Toronto-Raptors_321933.html" TargetMode="External"/><Relationship Id="rId23" Type="http://schemas.openxmlformats.org/officeDocument/2006/relationships/hyperlink" Target="http://www.forbes.com/lists/2008/32/nba08_Denver-Nuggets_324980.html" TargetMode="External"/><Relationship Id="rId28" Type="http://schemas.openxmlformats.org/officeDocument/2006/relationships/hyperlink" Target="http://www.forbes.com/lists/2008/32/nba08_Oklahoma-City-Thunder_329710.html" TargetMode="External"/><Relationship Id="rId36" Type="http://schemas.openxmlformats.org/officeDocument/2006/relationships/hyperlink" Target="http://www.forbes.com/lists/2008/32/nba08_NBA-Team-Valuations_Revenue.html" TargetMode="External"/><Relationship Id="rId10" Type="http://schemas.openxmlformats.org/officeDocument/2006/relationships/hyperlink" Target="http://www.forbes.com/lists/2008/32/nba08_Houston-Rockets_322525.html" TargetMode="External"/><Relationship Id="rId19" Type="http://schemas.openxmlformats.org/officeDocument/2006/relationships/hyperlink" Target="http://www.forbes.com/lists/2008/32/nba08_Washington-Wizards_322873.html" TargetMode="External"/><Relationship Id="rId31" Type="http://schemas.openxmlformats.org/officeDocument/2006/relationships/hyperlink" Target="http://www.forbes.com/lists/2008/32/nba08_Memphis-Grizzlies_325603.html" TargetMode="External"/><Relationship Id="rId4" Type="http://schemas.openxmlformats.org/officeDocument/2006/relationships/hyperlink" Target="http://www.forbes.com/lists/2008/32/nba08_NBA-Team-Valuations_DOV.html" TargetMode="External"/><Relationship Id="rId9" Type="http://schemas.openxmlformats.org/officeDocument/2006/relationships/hyperlink" Target="http://www.forbes.com/lists/2008/32/nba08_Cleveland-Cavaliers_324902.html" TargetMode="External"/><Relationship Id="rId14" Type="http://schemas.openxmlformats.org/officeDocument/2006/relationships/hyperlink" Target="http://www.forbes.com/lists/2008/32/nba08_San-Antonio-Spurs_323002.html" TargetMode="External"/><Relationship Id="rId22" Type="http://schemas.openxmlformats.org/officeDocument/2006/relationships/hyperlink" Target="http://www.forbes.com/lists/2008/32/nba08_Golden-State-Warriors_324799.html" TargetMode="External"/><Relationship Id="rId27" Type="http://schemas.openxmlformats.org/officeDocument/2006/relationships/hyperlink" Target="http://www.forbes.com/lists/2008/32/nba08_Minnesota-Timberwolves_323346.html" TargetMode="External"/><Relationship Id="rId30" Type="http://schemas.openxmlformats.org/officeDocument/2006/relationships/hyperlink" Target="http://www.forbes.com/lists/2008/32/nba08_New-Jersey-Nets_323869.html" TargetMode="External"/><Relationship Id="rId35" Type="http://schemas.openxmlformats.org/officeDocument/2006/relationships/hyperlink" Target="http://www.forbes.com/lists/2008/32/nba08_NBA-Team-Valuations_Income.html"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www.forbes.com/lists/2007/32/biz_07nba_Los-Angeles-Lakers_320250.html" TargetMode="External"/><Relationship Id="rId13" Type="http://schemas.openxmlformats.org/officeDocument/2006/relationships/hyperlink" Target="http://www.forbes.com/lists/2007/32/biz_07nba_Cleveland-Cavaliers_324902.html" TargetMode="External"/><Relationship Id="rId18" Type="http://schemas.openxmlformats.org/officeDocument/2006/relationships/hyperlink" Target="http://www.forbes.com/lists/2007/32/biz_07nba_Sacramento-Kings_327146.html" TargetMode="External"/><Relationship Id="rId26" Type="http://schemas.openxmlformats.org/officeDocument/2006/relationships/hyperlink" Target="http://www.forbes.com/lists/2007/32/biz_07nba_Denver-Nuggets_324980.html" TargetMode="External"/><Relationship Id="rId3" Type="http://schemas.openxmlformats.org/officeDocument/2006/relationships/hyperlink" Target="http://www.forbes.com/lists/2007/32/biz_07nba_NBA-Team-Valuations_YrChange.html" TargetMode="External"/><Relationship Id="rId21" Type="http://schemas.openxmlformats.org/officeDocument/2006/relationships/hyperlink" Target="http://www.forbes.com/lists/2007/32/biz_07nba_Washington-Wizards_322873.html" TargetMode="External"/><Relationship Id="rId34" Type="http://schemas.openxmlformats.org/officeDocument/2006/relationships/hyperlink" Target="http://www.forbes.com/lists/2007/32/biz_07nba_Seattle-SuperSonics_329710.html" TargetMode="External"/><Relationship Id="rId7" Type="http://schemas.openxmlformats.org/officeDocument/2006/relationships/hyperlink" Target="http://www.forbes.com/lists/2007/32/biz_07nba_New-York-Knicks_328815.html" TargetMode="External"/><Relationship Id="rId12" Type="http://schemas.openxmlformats.org/officeDocument/2006/relationships/hyperlink" Target="http://www.forbes.com/lists/2007/32/biz_07nba_Dallas-Mavericks_324736.html" TargetMode="External"/><Relationship Id="rId17" Type="http://schemas.openxmlformats.org/officeDocument/2006/relationships/hyperlink" Target="http://www.forbes.com/lists/2007/32/biz_07nba_Boston-Celtics_326173.html" TargetMode="External"/><Relationship Id="rId25" Type="http://schemas.openxmlformats.org/officeDocument/2006/relationships/hyperlink" Target="http://www.forbes.com/lists/2007/32/biz_07nba_Orlando-Magic_324583.html" TargetMode="External"/><Relationship Id="rId33" Type="http://schemas.openxmlformats.org/officeDocument/2006/relationships/hyperlink" Target="http://www.forbes.com/lists/2007/32/biz_07nba_New-Orleans-Hornets_328959.html" TargetMode="External"/><Relationship Id="rId2" Type="http://schemas.openxmlformats.org/officeDocument/2006/relationships/hyperlink" Target="http://www.forbes.com/lists/2007/32/biz_07nba_NBA-Team-Valuations_Value.html" TargetMode="External"/><Relationship Id="rId16" Type="http://schemas.openxmlformats.org/officeDocument/2006/relationships/hyperlink" Target="http://www.forbes.com/lists/2007/32/biz_07nba_San-Antonio-Spurs_323002.html" TargetMode="External"/><Relationship Id="rId20" Type="http://schemas.openxmlformats.org/officeDocument/2006/relationships/hyperlink" Target="http://www.forbes.com/lists/2007/32/biz_07nba_Toronto-Raptors_321933.html" TargetMode="External"/><Relationship Id="rId29" Type="http://schemas.openxmlformats.org/officeDocument/2006/relationships/hyperlink" Target="http://www.forbes.com/lists/2007/32/biz_07nba_Memphis-Grizzlies_325603.html" TargetMode="External"/><Relationship Id="rId1" Type="http://schemas.openxmlformats.org/officeDocument/2006/relationships/hyperlink" Target="http://www.forbes.com/lists/2007/32/biz_07nba_NBA-Team-Valuations_MetroArea.html" TargetMode="External"/><Relationship Id="rId6" Type="http://schemas.openxmlformats.org/officeDocument/2006/relationships/hyperlink" Target="http://www.forbes.com/lists/2007/32/biz_07nba_NBA-Team-Valuations_Income.html" TargetMode="External"/><Relationship Id="rId11" Type="http://schemas.openxmlformats.org/officeDocument/2006/relationships/hyperlink" Target="http://www.forbes.com/lists/2007/32/biz_07nba_Houston-Rockets_322525.html" TargetMode="External"/><Relationship Id="rId24" Type="http://schemas.openxmlformats.org/officeDocument/2006/relationships/hyperlink" Target="http://www.forbes.com/lists/2007/32/biz_07nba_Indiana-Pacers_322134.html" TargetMode="External"/><Relationship Id="rId32" Type="http://schemas.openxmlformats.org/officeDocument/2006/relationships/hyperlink" Target="http://www.forbes.com/lists/2007/32/biz_07nba_Atlanta-Hawks_323662.html" TargetMode="External"/><Relationship Id="rId5" Type="http://schemas.openxmlformats.org/officeDocument/2006/relationships/hyperlink" Target="http://www.forbes.com/lists/2007/32/biz_07nba_NBA-Team-Valuations_Revenue.html" TargetMode="External"/><Relationship Id="rId15" Type="http://schemas.openxmlformats.org/officeDocument/2006/relationships/hyperlink" Target="http://www.forbes.com/lists/2007/32/biz_07nba_Miami-Heat_329036.html" TargetMode="External"/><Relationship Id="rId23" Type="http://schemas.openxmlformats.org/officeDocument/2006/relationships/hyperlink" Target="http://www.forbes.com/lists/2007/32/biz_07nba_New-Jersey-Nets_323869.html" TargetMode="External"/><Relationship Id="rId28" Type="http://schemas.openxmlformats.org/officeDocument/2006/relationships/hyperlink" Target="http://www.forbes.com/lists/2007/32/biz_07nba_Minnesota-Timberwolves_323346.html" TargetMode="External"/><Relationship Id="rId36" Type="http://schemas.openxmlformats.org/officeDocument/2006/relationships/hyperlink" Target="http://www.forbes.com/lists/2007/32/biz_07nba_Portland-Trail-Blazers_324837.html" TargetMode="External"/><Relationship Id="rId10" Type="http://schemas.openxmlformats.org/officeDocument/2006/relationships/hyperlink" Target="http://www.forbes.com/lists/2007/32/biz_07nba_Detroit-Pistons_320844.html" TargetMode="External"/><Relationship Id="rId19" Type="http://schemas.openxmlformats.org/officeDocument/2006/relationships/hyperlink" Target="http://www.forbes.com/lists/2007/32/biz_07nba_Philadelphia-76ers_321387.html" TargetMode="External"/><Relationship Id="rId31" Type="http://schemas.openxmlformats.org/officeDocument/2006/relationships/hyperlink" Target="http://www.forbes.com/lists/2007/32/biz_07nba_Charlotte-Bobcats_322435.html" TargetMode="External"/><Relationship Id="rId4" Type="http://schemas.openxmlformats.org/officeDocument/2006/relationships/hyperlink" Target="http://www.forbes.com/lists/2007/32/biz_07nba_NBA-Team-Valuations_DOV.html" TargetMode="External"/><Relationship Id="rId9" Type="http://schemas.openxmlformats.org/officeDocument/2006/relationships/hyperlink" Target="http://www.forbes.com/lists/2007/32/biz_07nba_Chicago-Bulls_321267.html" TargetMode="External"/><Relationship Id="rId14" Type="http://schemas.openxmlformats.org/officeDocument/2006/relationships/hyperlink" Target="http://www.forbes.com/lists/2007/32/biz_07nba_Phoenix-Suns_321064.html" TargetMode="External"/><Relationship Id="rId22" Type="http://schemas.openxmlformats.org/officeDocument/2006/relationships/hyperlink" Target="http://www.forbes.com/lists/2007/32/biz_07nba_Utah-Jazz_322274.html" TargetMode="External"/><Relationship Id="rId27" Type="http://schemas.openxmlformats.org/officeDocument/2006/relationships/hyperlink" Target="http://www.forbes.com/lists/2007/32/biz_07nba_Golden-State-Warriors_324799.html" TargetMode="External"/><Relationship Id="rId30" Type="http://schemas.openxmlformats.org/officeDocument/2006/relationships/hyperlink" Target="http://www.forbes.com/lists/2007/32/biz_07nba_Los-Angeles-Clippers_322952.html" TargetMode="External"/><Relationship Id="rId35" Type="http://schemas.openxmlformats.org/officeDocument/2006/relationships/hyperlink" Target="http://www.forbes.com/lists/2007/32/biz_07nba_Milwaukee-Bucks_325937.html"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www.forbes.com/lists/2006/32/biz_06nba_Los-Angeles-Lakers_320250.html" TargetMode="External"/><Relationship Id="rId13" Type="http://schemas.openxmlformats.org/officeDocument/2006/relationships/hyperlink" Target="http://www.forbes.com/lists/2006/32/biz_06nba_Phoenix-Suns_321064.html" TargetMode="External"/><Relationship Id="rId18" Type="http://schemas.openxmlformats.org/officeDocument/2006/relationships/hyperlink" Target="http://www.forbes.com/lists/2006/32/biz_06nba_Philadelphia-76ers_321387.html" TargetMode="External"/><Relationship Id="rId26" Type="http://schemas.openxmlformats.org/officeDocument/2006/relationships/hyperlink" Target="http://www.forbes.com/lists/2006/32/biz_06nba_Minnesota-Timberwolves_323346.html" TargetMode="External"/><Relationship Id="rId3" Type="http://schemas.openxmlformats.org/officeDocument/2006/relationships/hyperlink" Target="http://www.forbes.com/lists/2006/32/biz_06nba_NBA-Team-Valuations_YrChange.html" TargetMode="External"/><Relationship Id="rId21" Type="http://schemas.openxmlformats.org/officeDocument/2006/relationships/hyperlink" Target="http://www.forbes.com/lists/2006/32/biz_06nba_Washington-Wizards_322873.html" TargetMode="External"/><Relationship Id="rId34" Type="http://schemas.openxmlformats.org/officeDocument/2006/relationships/hyperlink" Target="http://www.forbes.com/lists/2006/32/biz_06nba_Milwaukee-Bucks_325937.html" TargetMode="External"/><Relationship Id="rId7" Type="http://schemas.openxmlformats.org/officeDocument/2006/relationships/hyperlink" Target="http://www.forbes.com/lists/2006/32/biz_06nba_New-York-Knicks_328815.html" TargetMode="External"/><Relationship Id="rId12" Type="http://schemas.openxmlformats.org/officeDocument/2006/relationships/hyperlink" Target="http://www.forbes.com/lists/2006/32/biz_06nba_Detroit-Pistons_320844.html" TargetMode="External"/><Relationship Id="rId17" Type="http://schemas.openxmlformats.org/officeDocument/2006/relationships/hyperlink" Target="http://www.forbes.com/lists/2006/32/biz_06nba_Sacramento-Kings_327146.html" TargetMode="External"/><Relationship Id="rId25" Type="http://schemas.openxmlformats.org/officeDocument/2006/relationships/hyperlink" Target="http://www.forbes.com/lists/2006/32/biz_06nba_Denver-Nuggets_324980.html" TargetMode="External"/><Relationship Id="rId33" Type="http://schemas.openxmlformats.org/officeDocument/2006/relationships/hyperlink" Target="http://www.forbes.com/lists/2006/32/biz_06nba_Golden-State-Warriors_324799.html" TargetMode="External"/><Relationship Id="rId2" Type="http://schemas.openxmlformats.org/officeDocument/2006/relationships/hyperlink" Target="http://www.forbes.com/lists/2006/32/biz_06nba_NBA-Team-Valuations_Value.html" TargetMode="External"/><Relationship Id="rId16" Type="http://schemas.openxmlformats.org/officeDocument/2006/relationships/hyperlink" Target="http://www.forbes.com/lists/2006/32/biz_06nba_Cleveland-Cavaliers_324902.html" TargetMode="External"/><Relationship Id="rId20" Type="http://schemas.openxmlformats.org/officeDocument/2006/relationships/hyperlink" Target="http://www.forbes.com/lists/2006/32/biz_06nba_Indiana-Pacers_322134.html" TargetMode="External"/><Relationship Id="rId29" Type="http://schemas.openxmlformats.org/officeDocument/2006/relationships/hyperlink" Target="http://www.forbes.com/lists/2006/32/biz_06nba_Orlando-Magic_324583.html" TargetMode="External"/><Relationship Id="rId1" Type="http://schemas.openxmlformats.org/officeDocument/2006/relationships/hyperlink" Target="http://www.forbes.com/lists/2006/32/biz_06nba_NBA-Team-Valuations_MetroArea.html" TargetMode="External"/><Relationship Id="rId6" Type="http://schemas.openxmlformats.org/officeDocument/2006/relationships/hyperlink" Target="http://www.forbes.com/lists/2006/32/biz_06nba_NBA-Team-Valuations_Income.html" TargetMode="External"/><Relationship Id="rId11" Type="http://schemas.openxmlformats.org/officeDocument/2006/relationships/hyperlink" Target="http://www.forbes.com/lists/2006/32/biz_06nba_Houston-Rockets_322525.html" TargetMode="External"/><Relationship Id="rId24" Type="http://schemas.openxmlformats.org/officeDocument/2006/relationships/hyperlink" Target="http://www.forbes.com/lists/2006/32/biz_06nba_Memphis-Grizzlies_325603.html" TargetMode="External"/><Relationship Id="rId32" Type="http://schemas.openxmlformats.org/officeDocument/2006/relationships/hyperlink" Target="http://www.forbes.com/lists/2006/32/biz_06nba_Seattle-SuperSonics_329710.html" TargetMode="External"/><Relationship Id="rId5" Type="http://schemas.openxmlformats.org/officeDocument/2006/relationships/hyperlink" Target="http://www.forbes.com/lists/2006/32/biz_06nba_NBA-Team-Valuations_Revenue.html" TargetMode="External"/><Relationship Id="rId15" Type="http://schemas.openxmlformats.org/officeDocument/2006/relationships/hyperlink" Target="http://www.forbes.com/lists/2006/32/biz_06nba_San-Antonio-Spurs_323002.html" TargetMode="External"/><Relationship Id="rId23" Type="http://schemas.openxmlformats.org/officeDocument/2006/relationships/hyperlink" Target="http://www.forbes.com/lists/2006/32/biz_06nba_Toronto-Raptors_321933.html" TargetMode="External"/><Relationship Id="rId28" Type="http://schemas.openxmlformats.org/officeDocument/2006/relationships/hyperlink" Target="http://www.forbes.com/lists/2006/32/biz_06nba_Los-Angeles-Clippers_322952.html" TargetMode="External"/><Relationship Id="rId36" Type="http://schemas.openxmlformats.org/officeDocument/2006/relationships/hyperlink" Target="http://www.forbes.com/lists/2006/32/biz_06nba_Portland-Trail-Blazers_324837.html" TargetMode="External"/><Relationship Id="rId10" Type="http://schemas.openxmlformats.org/officeDocument/2006/relationships/hyperlink" Target="http://www.forbes.com/lists/2006/32/biz_06nba_Chicago-Bulls_321267.html" TargetMode="External"/><Relationship Id="rId19" Type="http://schemas.openxmlformats.org/officeDocument/2006/relationships/hyperlink" Target="http://www.forbes.com/lists/2006/32/biz_06nba_Boston-Celtics_326173.html" TargetMode="External"/><Relationship Id="rId31" Type="http://schemas.openxmlformats.org/officeDocument/2006/relationships/hyperlink" Target="http://www.forbes.com/lists/2006/32/biz_06nba_Atlanta-Hawks_323662.html" TargetMode="External"/><Relationship Id="rId4" Type="http://schemas.openxmlformats.org/officeDocument/2006/relationships/hyperlink" Target="http://www.forbes.com/lists/2006/32/biz_06nba_NBA-Team-Valuations_DOV.html" TargetMode="External"/><Relationship Id="rId9" Type="http://schemas.openxmlformats.org/officeDocument/2006/relationships/hyperlink" Target="http://www.forbes.com/lists/2006/32/biz_06nba_Dallas-Mavericks_324736.html" TargetMode="External"/><Relationship Id="rId14" Type="http://schemas.openxmlformats.org/officeDocument/2006/relationships/hyperlink" Target="http://www.forbes.com/lists/2006/32/biz_06nba_Miami-Heat_329036.html" TargetMode="External"/><Relationship Id="rId22" Type="http://schemas.openxmlformats.org/officeDocument/2006/relationships/hyperlink" Target="http://www.forbes.com/lists/2006/32/biz_06nba_New-Jersey-Nets_323869.html" TargetMode="External"/><Relationship Id="rId27" Type="http://schemas.openxmlformats.org/officeDocument/2006/relationships/hyperlink" Target="http://www.forbes.com/lists/2006/32/biz_06nba_Utah-Jazz_322274.html" TargetMode="External"/><Relationship Id="rId30" Type="http://schemas.openxmlformats.org/officeDocument/2006/relationships/hyperlink" Target="http://www.forbes.com/lists/2006/32/biz_06nba_Charlotte-Bobcats_322435.html" TargetMode="External"/><Relationship Id="rId35" Type="http://schemas.openxmlformats.org/officeDocument/2006/relationships/hyperlink" Target="http://www.forbes.com/lists/2006/32/biz_06nba_New-Orleans-Hornets_328959.html"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www.forbes.com/lists/2005/32/320250.html" TargetMode="External"/><Relationship Id="rId13" Type="http://schemas.openxmlformats.org/officeDocument/2006/relationships/hyperlink" Target="http://www.forbes.com/lists/2005/32/321064.html" TargetMode="External"/><Relationship Id="rId18" Type="http://schemas.openxmlformats.org/officeDocument/2006/relationships/hyperlink" Target="http://www.forbes.com/lists/2005/32/323002.html" TargetMode="External"/><Relationship Id="rId26" Type="http://schemas.openxmlformats.org/officeDocument/2006/relationships/hyperlink" Target="http://www.forbes.com/lists/2005/32/321933.html" TargetMode="External"/><Relationship Id="rId3" Type="http://schemas.openxmlformats.org/officeDocument/2006/relationships/hyperlink" Target="http://www.forbes.com/lists/2005/32/Change_1.html" TargetMode="External"/><Relationship Id="rId21" Type="http://schemas.openxmlformats.org/officeDocument/2006/relationships/hyperlink" Target="http://www.forbes.com/lists/2005/32/322873.html" TargetMode="External"/><Relationship Id="rId34" Type="http://schemas.openxmlformats.org/officeDocument/2006/relationships/hyperlink" Target="http://www.forbes.com/lists/2005/32/325937.html" TargetMode="External"/><Relationship Id="rId7" Type="http://schemas.openxmlformats.org/officeDocument/2006/relationships/hyperlink" Target="http://www.forbes.com/lists/2005/32/328815.html" TargetMode="External"/><Relationship Id="rId12" Type="http://schemas.openxmlformats.org/officeDocument/2006/relationships/hyperlink" Target="http://www.forbes.com/lists/2005/32/320844.html" TargetMode="External"/><Relationship Id="rId17" Type="http://schemas.openxmlformats.org/officeDocument/2006/relationships/hyperlink" Target="http://www.forbes.com/lists/2005/32/321387.html" TargetMode="External"/><Relationship Id="rId25" Type="http://schemas.openxmlformats.org/officeDocument/2006/relationships/hyperlink" Target="http://www.forbes.com/lists/2005/32/324980.html" TargetMode="External"/><Relationship Id="rId33" Type="http://schemas.openxmlformats.org/officeDocument/2006/relationships/hyperlink" Target="http://www.forbes.com/lists/2005/32/329710.html" TargetMode="External"/><Relationship Id="rId2" Type="http://schemas.openxmlformats.org/officeDocument/2006/relationships/hyperlink" Target="http://www.forbes.com/lists/2005/32/Value_1.html" TargetMode="External"/><Relationship Id="rId16" Type="http://schemas.openxmlformats.org/officeDocument/2006/relationships/hyperlink" Target="http://www.forbes.com/lists/2005/32/326173.html" TargetMode="External"/><Relationship Id="rId20" Type="http://schemas.openxmlformats.org/officeDocument/2006/relationships/hyperlink" Target="http://www.forbes.com/lists/2005/32/322134.html" TargetMode="External"/><Relationship Id="rId29" Type="http://schemas.openxmlformats.org/officeDocument/2006/relationships/hyperlink" Target="http://www.forbes.com/lists/2005/32/323662.html" TargetMode="External"/><Relationship Id="rId1" Type="http://schemas.openxmlformats.org/officeDocument/2006/relationships/hyperlink" Target="http://www.forbes.com/lists/2005/32/Team_1.html" TargetMode="External"/><Relationship Id="rId6" Type="http://schemas.openxmlformats.org/officeDocument/2006/relationships/hyperlink" Target="http://www.forbes.com/lists/2005/32/Income_1.html" TargetMode="External"/><Relationship Id="rId11" Type="http://schemas.openxmlformats.org/officeDocument/2006/relationships/hyperlink" Target="http://www.forbes.com/lists/2005/32/324736.html" TargetMode="External"/><Relationship Id="rId24" Type="http://schemas.openxmlformats.org/officeDocument/2006/relationships/hyperlink" Target="http://www.forbes.com/lists/2005/32/325603.html" TargetMode="External"/><Relationship Id="rId32" Type="http://schemas.openxmlformats.org/officeDocument/2006/relationships/hyperlink" Target="http://www.forbes.com/lists/2005/32/324799.html" TargetMode="External"/><Relationship Id="rId5" Type="http://schemas.openxmlformats.org/officeDocument/2006/relationships/hyperlink" Target="http://www.forbes.com/lists/2005/32/Revenues_1.html" TargetMode="External"/><Relationship Id="rId15" Type="http://schemas.openxmlformats.org/officeDocument/2006/relationships/hyperlink" Target="http://www.forbes.com/lists/2005/32/324902.html" TargetMode="External"/><Relationship Id="rId23" Type="http://schemas.openxmlformats.org/officeDocument/2006/relationships/hyperlink" Target="http://www.forbes.com/lists/2005/32/322435.html" TargetMode="External"/><Relationship Id="rId28" Type="http://schemas.openxmlformats.org/officeDocument/2006/relationships/hyperlink" Target="http://www.forbes.com/lists/2005/32/323869.html" TargetMode="External"/><Relationship Id="rId36" Type="http://schemas.openxmlformats.org/officeDocument/2006/relationships/hyperlink" Target="http://www.forbes.com/lists/2005/32/328959.html" TargetMode="External"/><Relationship Id="rId10" Type="http://schemas.openxmlformats.org/officeDocument/2006/relationships/hyperlink" Target="http://www.forbes.com/lists/2005/32/321267.html" TargetMode="External"/><Relationship Id="rId19" Type="http://schemas.openxmlformats.org/officeDocument/2006/relationships/hyperlink" Target="http://www.forbes.com/lists/2005/32/327146.html" TargetMode="External"/><Relationship Id="rId31" Type="http://schemas.openxmlformats.org/officeDocument/2006/relationships/hyperlink" Target="http://www.forbes.com/lists/2005/32/324583.html" TargetMode="External"/><Relationship Id="rId4" Type="http://schemas.openxmlformats.org/officeDocument/2006/relationships/hyperlink" Target="http://www.forbes.com/lists/2005/32/Debt_1.html" TargetMode="External"/><Relationship Id="rId9" Type="http://schemas.openxmlformats.org/officeDocument/2006/relationships/hyperlink" Target="http://www.forbes.com/lists/2005/32/322525.html" TargetMode="External"/><Relationship Id="rId14" Type="http://schemas.openxmlformats.org/officeDocument/2006/relationships/hyperlink" Target="http://www.forbes.com/lists/2005/32/329036.html" TargetMode="External"/><Relationship Id="rId22" Type="http://schemas.openxmlformats.org/officeDocument/2006/relationships/hyperlink" Target="http://www.forbes.com/lists/2005/32/323346.html" TargetMode="External"/><Relationship Id="rId27" Type="http://schemas.openxmlformats.org/officeDocument/2006/relationships/hyperlink" Target="http://www.forbes.com/lists/2005/32/322274.html" TargetMode="External"/><Relationship Id="rId30" Type="http://schemas.openxmlformats.org/officeDocument/2006/relationships/hyperlink" Target="http://www.forbes.com/lists/2005/32/322952.html" TargetMode="External"/><Relationship Id="rId35" Type="http://schemas.openxmlformats.org/officeDocument/2006/relationships/hyperlink" Target="http://www.forbes.com/lists/2005/32/324837.html"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markets2.forbes.com/rpt/Stock_delay_report.asp?Symbol=WCOM" TargetMode="External"/><Relationship Id="rId13" Type="http://schemas.openxmlformats.org/officeDocument/2006/relationships/hyperlink" Target="http://markets2.forbes.com/rpt/Stock_delay_report.asp?Symbol=PEP" TargetMode="External"/><Relationship Id="rId18" Type="http://schemas.openxmlformats.org/officeDocument/2006/relationships/drawing" Target="../drawings/drawing5.xml"/><Relationship Id="rId3" Type="http://schemas.openxmlformats.org/officeDocument/2006/relationships/hyperlink" Target="http://markets2.forbes.com/rpt/Stock_delay_report.asp?Symbol=FTU" TargetMode="External"/><Relationship Id="rId7" Type="http://schemas.openxmlformats.org/officeDocument/2006/relationships/hyperlink" Target="http://markets2.forbes.com/rpt/Stock_delay_report.asp?Symbol=FBF" TargetMode="External"/><Relationship Id="rId12" Type="http://schemas.openxmlformats.org/officeDocument/2006/relationships/hyperlink" Target="http://markets2.forbes.com/rpt/Stock_delay_report.asp?Symbol=BP" TargetMode="External"/><Relationship Id="rId17" Type="http://schemas.openxmlformats.org/officeDocument/2006/relationships/hyperlink" Target="http://markets2.forbes.com/rpt/Stock_delay_report.asp?Symbol=GM" TargetMode="External"/><Relationship Id="rId2" Type="http://schemas.openxmlformats.org/officeDocument/2006/relationships/hyperlink" Target="http://markets2.forbes.com/rpt/Stock_delay_report.asp?Symbol=UAL" TargetMode="External"/><Relationship Id="rId16" Type="http://schemas.openxmlformats.org/officeDocument/2006/relationships/hyperlink" Target="http://markets2.forbes.com/rpt/Stock_delay_report.asp?Symbol=SPLS" TargetMode="External"/><Relationship Id="rId1" Type="http://schemas.openxmlformats.org/officeDocument/2006/relationships/hyperlink" Target="http://markets2.forbes.com/rpt/Stock_delay_report.asp?Symbol=SPLS" TargetMode="External"/><Relationship Id="rId6" Type="http://schemas.openxmlformats.org/officeDocument/2006/relationships/hyperlink" Target="http://markets2.forbes.com/rpt/Stock_delay_report.asp?Symbol=AMR" TargetMode="External"/><Relationship Id="rId11" Type="http://schemas.openxmlformats.org/officeDocument/2006/relationships/hyperlink" Target="http://markets2.forbes.com/rpt/Stock_delay_report.asp?Symbol=CAL" TargetMode="External"/><Relationship Id="rId5" Type="http://schemas.openxmlformats.org/officeDocument/2006/relationships/hyperlink" Target="http://markets2.forbes.com/rpt/Stock_delay_report.asp?Symbol=DAL" TargetMode="External"/><Relationship Id="rId15" Type="http://schemas.openxmlformats.org/officeDocument/2006/relationships/hyperlink" Target="http://markets2.forbes.com/rpt/Stock_delay_report.asp?Symbol=TWE" TargetMode="External"/><Relationship Id="rId10" Type="http://schemas.openxmlformats.org/officeDocument/2006/relationships/hyperlink" Target="http://markets2.forbes.com/rpt/Stock_delay_report.asp?Symbol=KEY" TargetMode="External"/><Relationship Id="rId4" Type="http://schemas.openxmlformats.org/officeDocument/2006/relationships/hyperlink" Target="http://markets2.forbes.com/rpt/Stock_delay_report.asp?Symbol=CNC" TargetMode="External"/><Relationship Id="rId9" Type="http://schemas.openxmlformats.org/officeDocument/2006/relationships/hyperlink" Target="http://markets2.forbes.com/rpt/Stock_delay_report.asp?Symbol=CPQ" TargetMode="External"/><Relationship Id="rId14" Type="http://schemas.openxmlformats.org/officeDocument/2006/relationships/hyperlink" Target="http://markets2.forbes.com/rpt/Stock_delay_report.asp?Symbol=TG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6" Type="http://schemas.openxmlformats.org/officeDocument/2006/relationships/hyperlink" Target="http://espn.go.com/nba/attendance/_/year/2013/order/false" TargetMode="External"/><Relationship Id="rId117" Type="http://schemas.openxmlformats.org/officeDocument/2006/relationships/hyperlink" Target="http://espn.go.com/nba/attendance/_/year/2002/sort/awayPct" TargetMode="External"/><Relationship Id="rId21" Type="http://schemas.openxmlformats.org/officeDocument/2006/relationships/hyperlink" Target="http://espn.go.com/nba/attendance/_/year/2014/sort/awayPct" TargetMode="External"/><Relationship Id="rId42" Type="http://schemas.openxmlformats.org/officeDocument/2006/relationships/hyperlink" Target="http://espn.go.com/nba/attendance/_/year/2011/order/false" TargetMode="External"/><Relationship Id="rId47" Type="http://schemas.openxmlformats.org/officeDocument/2006/relationships/hyperlink" Target="http://espn.go.com/nba/attendance/_/year/2011/sort/allPct" TargetMode="External"/><Relationship Id="rId63" Type="http://schemas.openxmlformats.org/officeDocument/2006/relationships/hyperlink" Target="http://espn.go.com/nba/attendance/_/year/2009/sort/allPct" TargetMode="External"/><Relationship Id="rId68" Type="http://schemas.openxmlformats.org/officeDocument/2006/relationships/hyperlink" Target="http://espn.go.com/nba/attendance/_/year/2007/sort/awayAvg" TargetMode="External"/><Relationship Id="rId84" Type="http://schemas.openxmlformats.org/officeDocument/2006/relationships/hyperlink" Target="http://espn.go.com/nba/attendance/_/year/2006/sort/awayAvg" TargetMode="External"/><Relationship Id="rId89" Type="http://schemas.openxmlformats.org/officeDocument/2006/relationships/hyperlink" Target="http://espn.go.com/nba/attendance/_/year/2005/sort/homeTotal" TargetMode="External"/><Relationship Id="rId112" Type="http://schemas.openxmlformats.org/officeDocument/2006/relationships/hyperlink" Target="http://espn.go.com/nba/team/_/name/chi/chicago-bulls" TargetMode="External"/><Relationship Id="rId16" Type="http://schemas.openxmlformats.org/officeDocument/2006/relationships/hyperlink" Target="http://espn.go.com/nba/team/_/name/chi/chicago-bulls" TargetMode="External"/><Relationship Id="rId107" Type="http://schemas.openxmlformats.org/officeDocument/2006/relationships/hyperlink" Target="http://espn.go.com/nba/attendance/_/year/2003/sort/homePct" TargetMode="External"/><Relationship Id="rId11" Type="http://schemas.openxmlformats.org/officeDocument/2006/relationships/hyperlink" Target="http://espn.go.com/nba/attendance/_/year/2015/sort/homePct" TargetMode="External"/><Relationship Id="rId24" Type="http://schemas.openxmlformats.org/officeDocument/2006/relationships/hyperlink" Target="http://espn.go.com/nba/team/_/name/chi/chicago-bulls" TargetMode="External"/><Relationship Id="rId32" Type="http://schemas.openxmlformats.org/officeDocument/2006/relationships/hyperlink" Target="http://espn.go.com/nba/team/_/name/chi/chicago-bulls" TargetMode="External"/><Relationship Id="rId37" Type="http://schemas.openxmlformats.org/officeDocument/2006/relationships/hyperlink" Target="http://espn.go.com/nba/attendance/_/year/2012/sort/awayPct" TargetMode="External"/><Relationship Id="rId40" Type="http://schemas.openxmlformats.org/officeDocument/2006/relationships/hyperlink" Target="http://espn.go.com/nba/team/_/name/chi/chicago-bulls" TargetMode="External"/><Relationship Id="rId45" Type="http://schemas.openxmlformats.org/officeDocument/2006/relationships/hyperlink" Target="http://espn.go.com/nba/attendance/_/year/2011/sort/awayPct" TargetMode="External"/><Relationship Id="rId53" Type="http://schemas.openxmlformats.org/officeDocument/2006/relationships/hyperlink" Target="http://espn.go.com/nba/attendance/_/year/2010/sort/awayPct" TargetMode="External"/><Relationship Id="rId58" Type="http://schemas.openxmlformats.org/officeDocument/2006/relationships/hyperlink" Target="http://espn.go.com/nba/attendance/_/year/2009/order/false" TargetMode="External"/><Relationship Id="rId66" Type="http://schemas.openxmlformats.org/officeDocument/2006/relationships/hyperlink" Target="http://espn.go.com/nba/attendance/_/year/2007/order/false" TargetMode="External"/><Relationship Id="rId74" Type="http://schemas.openxmlformats.org/officeDocument/2006/relationships/hyperlink" Target="http://espn.go.com/nba/attendance/_/year/2008/order/false" TargetMode="External"/><Relationship Id="rId79" Type="http://schemas.openxmlformats.org/officeDocument/2006/relationships/hyperlink" Target="http://espn.go.com/nba/attendance/_/year/2008/sort/allPct" TargetMode="External"/><Relationship Id="rId87" Type="http://schemas.openxmlformats.org/officeDocument/2006/relationships/hyperlink" Target="http://espn.go.com/nba/attendance/_/year/2006/sort/allPct" TargetMode="External"/><Relationship Id="rId102" Type="http://schemas.openxmlformats.org/officeDocument/2006/relationships/hyperlink" Target="http://espn.go.com/nba/attendance/_/year/2004/sort/allAvg" TargetMode="External"/><Relationship Id="rId110" Type="http://schemas.openxmlformats.org/officeDocument/2006/relationships/hyperlink" Target="http://espn.go.com/nba/attendance/_/year/2003/sort/allAvg" TargetMode="External"/><Relationship Id="rId115" Type="http://schemas.openxmlformats.org/officeDocument/2006/relationships/hyperlink" Target="http://espn.go.com/nba/attendance/_/year/2002/sort/homePct" TargetMode="External"/><Relationship Id="rId5" Type="http://schemas.openxmlformats.org/officeDocument/2006/relationships/hyperlink" Target="http://espn.go.com/nba/attendance/_/sort/awayPct" TargetMode="External"/><Relationship Id="rId61" Type="http://schemas.openxmlformats.org/officeDocument/2006/relationships/hyperlink" Target="http://espn.go.com/nba/attendance/_/year/2009/sort/awayPct" TargetMode="External"/><Relationship Id="rId82" Type="http://schemas.openxmlformats.org/officeDocument/2006/relationships/hyperlink" Target="http://espn.go.com/nba/attendance/_/year/2006/order/false" TargetMode="External"/><Relationship Id="rId90" Type="http://schemas.openxmlformats.org/officeDocument/2006/relationships/hyperlink" Target="http://espn.go.com/nba/attendance/_/year/2005/order/false" TargetMode="External"/><Relationship Id="rId95" Type="http://schemas.openxmlformats.org/officeDocument/2006/relationships/hyperlink" Target="http://espn.go.com/nba/attendance/_/year/2005/sort/allPct" TargetMode="External"/><Relationship Id="rId19" Type="http://schemas.openxmlformats.org/officeDocument/2006/relationships/hyperlink" Target="http://espn.go.com/nba/attendance/_/year/2014/sort/homePct" TargetMode="External"/><Relationship Id="rId14" Type="http://schemas.openxmlformats.org/officeDocument/2006/relationships/hyperlink" Target="http://espn.go.com/nba/attendance/_/year/2015/sort/allAvg" TargetMode="External"/><Relationship Id="rId22" Type="http://schemas.openxmlformats.org/officeDocument/2006/relationships/hyperlink" Target="http://espn.go.com/nba/attendance/_/year/2014/sort/allAvg" TargetMode="External"/><Relationship Id="rId27" Type="http://schemas.openxmlformats.org/officeDocument/2006/relationships/hyperlink" Target="http://espn.go.com/nba/attendance/_/year/2013/sort/homePct" TargetMode="External"/><Relationship Id="rId30" Type="http://schemas.openxmlformats.org/officeDocument/2006/relationships/hyperlink" Target="http://espn.go.com/nba/attendance/_/year/2013/sort/allAvg" TargetMode="External"/><Relationship Id="rId35" Type="http://schemas.openxmlformats.org/officeDocument/2006/relationships/hyperlink" Target="http://espn.go.com/nba/attendance/_/year/2012/sort/homePct" TargetMode="External"/><Relationship Id="rId43" Type="http://schemas.openxmlformats.org/officeDocument/2006/relationships/hyperlink" Target="http://espn.go.com/nba/attendance/_/year/2011/sort/homePct" TargetMode="External"/><Relationship Id="rId48" Type="http://schemas.openxmlformats.org/officeDocument/2006/relationships/hyperlink" Target="http://espn.go.com/nba/team/_/name/chi/chicago-bulls" TargetMode="External"/><Relationship Id="rId56" Type="http://schemas.openxmlformats.org/officeDocument/2006/relationships/hyperlink" Target="http://espn.go.com/nba/team/_/name/chi/chicago-bulls" TargetMode="External"/><Relationship Id="rId64" Type="http://schemas.openxmlformats.org/officeDocument/2006/relationships/hyperlink" Target="http://espn.go.com/nba/team/_/name/chi/chicago-bulls" TargetMode="External"/><Relationship Id="rId69" Type="http://schemas.openxmlformats.org/officeDocument/2006/relationships/hyperlink" Target="http://espn.go.com/nba/attendance/_/year/2007/sort/awayPct" TargetMode="External"/><Relationship Id="rId77" Type="http://schemas.openxmlformats.org/officeDocument/2006/relationships/hyperlink" Target="http://espn.go.com/nba/attendance/_/year/2008/sort/awayPct" TargetMode="External"/><Relationship Id="rId100" Type="http://schemas.openxmlformats.org/officeDocument/2006/relationships/hyperlink" Target="http://espn.go.com/nba/attendance/_/year/2004/sort/awayAvg" TargetMode="External"/><Relationship Id="rId105" Type="http://schemas.openxmlformats.org/officeDocument/2006/relationships/hyperlink" Target="http://espn.go.com/nba/attendance/_/year/2003/sort/homeTotal" TargetMode="External"/><Relationship Id="rId113" Type="http://schemas.openxmlformats.org/officeDocument/2006/relationships/hyperlink" Target="http://espn.go.com/nba/attendance/_/year/2002/sort/homeTotal" TargetMode="External"/><Relationship Id="rId118" Type="http://schemas.openxmlformats.org/officeDocument/2006/relationships/hyperlink" Target="http://espn.go.com/nba/attendance/_/year/2002/sort/allAvg" TargetMode="External"/><Relationship Id="rId8" Type="http://schemas.openxmlformats.org/officeDocument/2006/relationships/hyperlink" Target="http://espn.go.com/nba/team/_/name/chi/chicago-bulls" TargetMode="External"/><Relationship Id="rId51" Type="http://schemas.openxmlformats.org/officeDocument/2006/relationships/hyperlink" Target="http://espn.go.com/nba/attendance/_/year/2010/sort/homePct" TargetMode="External"/><Relationship Id="rId72" Type="http://schemas.openxmlformats.org/officeDocument/2006/relationships/hyperlink" Target="http://espn.go.com/nba/team/_/name/chi/chicago-bulls" TargetMode="External"/><Relationship Id="rId80" Type="http://schemas.openxmlformats.org/officeDocument/2006/relationships/hyperlink" Target="http://espn.go.com/nba/team/_/name/chi/chicago-bulls" TargetMode="External"/><Relationship Id="rId85" Type="http://schemas.openxmlformats.org/officeDocument/2006/relationships/hyperlink" Target="http://espn.go.com/nba/attendance/_/year/2006/sort/awayPct" TargetMode="External"/><Relationship Id="rId93" Type="http://schemas.openxmlformats.org/officeDocument/2006/relationships/hyperlink" Target="http://espn.go.com/nba/attendance/_/year/2005/sort/awayPct" TargetMode="External"/><Relationship Id="rId98" Type="http://schemas.openxmlformats.org/officeDocument/2006/relationships/hyperlink" Target="http://espn.go.com/nba/attendance/_/year/2004/order/false" TargetMode="External"/><Relationship Id="rId3" Type="http://schemas.openxmlformats.org/officeDocument/2006/relationships/hyperlink" Target="http://espn.go.com/nba/attendance/_/sort/homePct" TargetMode="External"/><Relationship Id="rId12" Type="http://schemas.openxmlformats.org/officeDocument/2006/relationships/hyperlink" Target="http://espn.go.com/nba/attendance/_/year/2015/sort/awayAvg" TargetMode="External"/><Relationship Id="rId17" Type="http://schemas.openxmlformats.org/officeDocument/2006/relationships/hyperlink" Target="http://espn.go.com/nba/attendance/_/year/2014/sort/homeTotal" TargetMode="External"/><Relationship Id="rId25" Type="http://schemas.openxmlformats.org/officeDocument/2006/relationships/hyperlink" Target="http://espn.go.com/nba/attendance/_/year/2013/sort/homeTotal" TargetMode="External"/><Relationship Id="rId33" Type="http://schemas.openxmlformats.org/officeDocument/2006/relationships/hyperlink" Target="http://espn.go.com/nba/attendance/_/year/2012/sort/homeTotal" TargetMode="External"/><Relationship Id="rId38" Type="http://schemas.openxmlformats.org/officeDocument/2006/relationships/hyperlink" Target="http://espn.go.com/nba/attendance/_/year/2012/sort/allAvg" TargetMode="External"/><Relationship Id="rId46" Type="http://schemas.openxmlformats.org/officeDocument/2006/relationships/hyperlink" Target="http://espn.go.com/nba/attendance/_/year/2011/sort/allAvg" TargetMode="External"/><Relationship Id="rId59" Type="http://schemas.openxmlformats.org/officeDocument/2006/relationships/hyperlink" Target="http://espn.go.com/nba/attendance/_/year/2009/sort/homePct" TargetMode="External"/><Relationship Id="rId67" Type="http://schemas.openxmlformats.org/officeDocument/2006/relationships/hyperlink" Target="http://espn.go.com/nba/attendance/_/year/2007/sort/homePct" TargetMode="External"/><Relationship Id="rId103" Type="http://schemas.openxmlformats.org/officeDocument/2006/relationships/hyperlink" Target="http://espn.go.com/nba/attendance/_/year/2004/sort/allPct" TargetMode="External"/><Relationship Id="rId108" Type="http://schemas.openxmlformats.org/officeDocument/2006/relationships/hyperlink" Target="http://espn.go.com/nba/attendance/_/year/2003/sort/awayAvg" TargetMode="External"/><Relationship Id="rId116" Type="http://schemas.openxmlformats.org/officeDocument/2006/relationships/hyperlink" Target="http://espn.go.com/nba/attendance/_/year/2002/sort/awayAvg" TargetMode="External"/><Relationship Id="rId20" Type="http://schemas.openxmlformats.org/officeDocument/2006/relationships/hyperlink" Target="http://espn.go.com/nba/attendance/_/year/2014/sort/awayAvg" TargetMode="External"/><Relationship Id="rId41" Type="http://schemas.openxmlformats.org/officeDocument/2006/relationships/hyperlink" Target="http://espn.go.com/nba/attendance/_/year/2011/sort/homeTotal" TargetMode="External"/><Relationship Id="rId54" Type="http://schemas.openxmlformats.org/officeDocument/2006/relationships/hyperlink" Target="http://espn.go.com/nba/attendance/_/year/2010/sort/allAvg" TargetMode="External"/><Relationship Id="rId62" Type="http://schemas.openxmlformats.org/officeDocument/2006/relationships/hyperlink" Target="http://espn.go.com/nba/attendance/_/year/2009/sort/allAvg" TargetMode="External"/><Relationship Id="rId70" Type="http://schemas.openxmlformats.org/officeDocument/2006/relationships/hyperlink" Target="http://espn.go.com/nba/attendance/_/year/2007/sort/allAvg" TargetMode="External"/><Relationship Id="rId75" Type="http://schemas.openxmlformats.org/officeDocument/2006/relationships/hyperlink" Target="http://espn.go.com/nba/attendance/_/year/2008/sort/homePct" TargetMode="External"/><Relationship Id="rId83" Type="http://schemas.openxmlformats.org/officeDocument/2006/relationships/hyperlink" Target="http://espn.go.com/nba/attendance/_/year/2006/sort/homePct" TargetMode="External"/><Relationship Id="rId88" Type="http://schemas.openxmlformats.org/officeDocument/2006/relationships/hyperlink" Target="http://espn.go.com/nba/team/_/name/chi/chicago-bulls" TargetMode="External"/><Relationship Id="rId91" Type="http://schemas.openxmlformats.org/officeDocument/2006/relationships/hyperlink" Target="http://espn.go.com/nba/attendance/_/year/2005/sort/homePct" TargetMode="External"/><Relationship Id="rId96" Type="http://schemas.openxmlformats.org/officeDocument/2006/relationships/hyperlink" Target="http://espn.go.com/nba/team/_/name/chi/chicago-bulls" TargetMode="External"/><Relationship Id="rId111" Type="http://schemas.openxmlformats.org/officeDocument/2006/relationships/hyperlink" Target="http://espn.go.com/nba/attendance/_/year/2003/sort/allPct" TargetMode="External"/><Relationship Id="rId1" Type="http://schemas.openxmlformats.org/officeDocument/2006/relationships/hyperlink" Target="http://espn.go.com/nba/attendance/_/sort/homeTotal" TargetMode="External"/><Relationship Id="rId6" Type="http://schemas.openxmlformats.org/officeDocument/2006/relationships/hyperlink" Target="http://espn.go.com/nba/attendance/_/sort/allAvg" TargetMode="External"/><Relationship Id="rId15" Type="http://schemas.openxmlformats.org/officeDocument/2006/relationships/hyperlink" Target="http://espn.go.com/nba/attendance/_/year/2015/sort/allPct" TargetMode="External"/><Relationship Id="rId23" Type="http://schemas.openxmlformats.org/officeDocument/2006/relationships/hyperlink" Target="http://espn.go.com/nba/attendance/_/year/2014/sort/allPct" TargetMode="External"/><Relationship Id="rId28" Type="http://schemas.openxmlformats.org/officeDocument/2006/relationships/hyperlink" Target="http://espn.go.com/nba/attendance/_/year/2013/sort/awayAvg" TargetMode="External"/><Relationship Id="rId36" Type="http://schemas.openxmlformats.org/officeDocument/2006/relationships/hyperlink" Target="http://espn.go.com/nba/attendance/_/year/2012/sort/awayAvg" TargetMode="External"/><Relationship Id="rId49" Type="http://schemas.openxmlformats.org/officeDocument/2006/relationships/hyperlink" Target="http://espn.go.com/nba/attendance/_/year/2010/sort/homeTotal" TargetMode="External"/><Relationship Id="rId57" Type="http://schemas.openxmlformats.org/officeDocument/2006/relationships/hyperlink" Target="http://espn.go.com/nba/attendance/_/year/2009/sort/homeTotal" TargetMode="External"/><Relationship Id="rId106" Type="http://schemas.openxmlformats.org/officeDocument/2006/relationships/hyperlink" Target="http://espn.go.com/nba/attendance/_/year/2003/order/false" TargetMode="External"/><Relationship Id="rId114" Type="http://schemas.openxmlformats.org/officeDocument/2006/relationships/hyperlink" Target="http://espn.go.com/nba/attendance/_/year/2002/order/false" TargetMode="External"/><Relationship Id="rId119" Type="http://schemas.openxmlformats.org/officeDocument/2006/relationships/hyperlink" Target="http://espn.go.com/nba/attendance/_/year/2002/sort/allPct" TargetMode="External"/><Relationship Id="rId10" Type="http://schemas.openxmlformats.org/officeDocument/2006/relationships/hyperlink" Target="http://espn.go.com/nba/attendance/_/year/2015/order/false" TargetMode="External"/><Relationship Id="rId31" Type="http://schemas.openxmlformats.org/officeDocument/2006/relationships/hyperlink" Target="http://espn.go.com/nba/attendance/_/year/2013/sort/allPct" TargetMode="External"/><Relationship Id="rId44" Type="http://schemas.openxmlformats.org/officeDocument/2006/relationships/hyperlink" Target="http://espn.go.com/nba/attendance/_/year/2011/sort/awayAvg" TargetMode="External"/><Relationship Id="rId52" Type="http://schemas.openxmlformats.org/officeDocument/2006/relationships/hyperlink" Target="http://espn.go.com/nba/attendance/_/year/2010/sort/awayAvg" TargetMode="External"/><Relationship Id="rId60" Type="http://schemas.openxmlformats.org/officeDocument/2006/relationships/hyperlink" Target="http://espn.go.com/nba/attendance/_/year/2009/sort/awayAvg" TargetMode="External"/><Relationship Id="rId65" Type="http://schemas.openxmlformats.org/officeDocument/2006/relationships/hyperlink" Target="http://espn.go.com/nba/attendance/_/year/2007/sort/homeTotal" TargetMode="External"/><Relationship Id="rId73" Type="http://schemas.openxmlformats.org/officeDocument/2006/relationships/hyperlink" Target="http://espn.go.com/nba/attendance/_/year/2008/sort/homeTotal" TargetMode="External"/><Relationship Id="rId78" Type="http://schemas.openxmlformats.org/officeDocument/2006/relationships/hyperlink" Target="http://espn.go.com/nba/attendance/_/year/2008/sort/allAvg" TargetMode="External"/><Relationship Id="rId81" Type="http://schemas.openxmlformats.org/officeDocument/2006/relationships/hyperlink" Target="http://espn.go.com/nba/attendance/_/year/2006/sort/homeTotal" TargetMode="External"/><Relationship Id="rId86" Type="http://schemas.openxmlformats.org/officeDocument/2006/relationships/hyperlink" Target="http://espn.go.com/nba/attendance/_/year/2006/sort/allAvg" TargetMode="External"/><Relationship Id="rId94" Type="http://schemas.openxmlformats.org/officeDocument/2006/relationships/hyperlink" Target="http://espn.go.com/nba/attendance/_/year/2005/sort/allAvg" TargetMode="External"/><Relationship Id="rId99" Type="http://schemas.openxmlformats.org/officeDocument/2006/relationships/hyperlink" Target="http://espn.go.com/nba/attendance/_/year/2004/sort/homePct" TargetMode="External"/><Relationship Id="rId101" Type="http://schemas.openxmlformats.org/officeDocument/2006/relationships/hyperlink" Target="http://espn.go.com/nba/attendance/_/year/2004/sort/awayPct" TargetMode="External"/><Relationship Id="rId4" Type="http://schemas.openxmlformats.org/officeDocument/2006/relationships/hyperlink" Target="http://espn.go.com/nba/attendance/_/sort/awayAvg" TargetMode="External"/><Relationship Id="rId9" Type="http://schemas.openxmlformats.org/officeDocument/2006/relationships/hyperlink" Target="http://espn.go.com/nba/attendance/_/year/2015/sort/homeTotal" TargetMode="External"/><Relationship Id="rId13" Type="http://schemas.openxmlformats.org/officeDocument/2006/relationships/hyperlink" Target="http://espn.go.com/nba/attendance/_/year/2015/sort/awayPct" TargetMode="External"/><Relationship Id="rId18" Type="http://schemas.openxmlformats.org/officeDocument/2006/relationships/hyperlink" Target="http://espn.go.com/nba/attendance/_/year/2014/order/false" TargetMode="External"/><Relationship Id="rId39" Type="http://schemas.openxmlformats.org/officeDocument/2006/relationships/hyperlink" Target="http://espn.go.com/nba/attendance/_/year/2012/sort/allPct" TargetMode="External"/><Relationship Id="rId109" Type="http://schemas.openxmlformats.org/officeDocument/2006/relationships/hyperlink" Target="http://espn.go.com/nba/attendance/_/year/2003/sort/awayPct" TargetMode="External"/><Relationship Id="rId34" Type="http://schemas.openxmlformats.org/officeDocument/2006/relationships/hyperlink" Target="http://espn.go.com/nba/attendance/_/year/2012/order/false" TargetMode="External"/><Relationship Id="rId50" Type="http://schemas.openxmlformats.org/officeDocument/2006/relationships/hyperlink" Target="http://espn.go.com/nba/attendance/_/year/2010/order/false" TargetMode="External"/><Relationship Id="rId55" Type="http://schemas.openxmlformats.org/officeDocument/2006/relationships/hyperlink" Target="http://espn.go.com/nba/attendance/_/year/2010/sort/allPct" TargetMode="External"/><Relationship Id="rId76" Type="http://schemas.openxmlformats.org/officeDocument/2006/relationships/hyperlink" Target="http://espn.go.com/nba/attendance/_/year/2008/sort/awayAvg" TargetMode="External"/><Relationship Id="rId97" Type="http://schemas.openxmlformats.org/officeDocument/2006/relationships/hyperlink" Target="http://espn.go.com/nba/attendance/_/year/2004/sort/homeTotal" TargetMode="External"/><Relationship Id="rId104" Type="http://schemas.openxmlformats.org/officeDocument/2006/relationships/hyperlink" Target="http://espn.go.com/nba/team/_/name/chi/chicago-bulls" TargetMode="External"/><Relationship Id="rId120" Type="http://schemas.openxmlformats.org/officeDocument/2006/relationships/hyperlink" Target="http://espn.go.com/nba/team/_/name/chi/chicago-bulls" TargetMode="External"/><Relationship Id="rId7" Type="http://schemas.openxmlformats.org/officeDocument/2006/relationships/hyperlink" Target="http://espn.go.com/nba/attendance/_/sort/allPct" TargetMode="External"/><Relationship Id="rId71" Type="http://schemas.openxmlformats.org/officeDocument/2006/relationships/hyperlink" Target="http://espn.go.com/nba/attendance/_/year/2007/sort/allPct" TargetMode="External"/><Relationship Id="rId92" Type="http://schemas.openxmlformats.org/officeDocument/2006/relationships/hyperlink" Target="http://espn.go.com/nba/attendance/_/year/2005/sort/awayAvg" TargetMode="External"/><Relationship Id="rId2" Type="http://schemas.openxmlformats.org/officeDocument/2006/relationships/hyperlink" Target="http://espn.go.com/nba/attendance/_/order/false" TargetMode="External"/><Relationship Id="rId29" Type="http://schemas.openxmlformats.org/officeDocument/2006/relationships/hyperlink" Target="http://espn.go.com/nba/attendance/_/year/2013/sort/awayP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sqref="A1:F1"/>
    </sheetView>
  </sheetViews>
  <sheetFormatPr defaultColWidth="11.19921875" defaultRowHeight="15.6"/>
  <cols>
    <col min="1" max="1" width="34.5" customWidth="1"/>
    <col min="2" max="2" width="12.296875" bestFit="1" customWidth="1"/>
    <col min="3" max="3" width="9.69921875" bestFit="1" customWidth="1"/>
    <col min="4" max="4" width="12.296875" bestFit="1" customWidth="1"/>
    <col min="5" max="5" width="4.69921875" bestFit="1" customWidth="1"/>
    <col min="6" max="6" width="10.69921875" bestFit="1" customWidth="1"/>
    <col min="7" max="7" width="6.69921875" bestFit="1" customWidth="1"/>
  </cols>
  <sheetData>
    <row r="1" spans="1:7">
      <c r="A1" s="329" t="s">
        <v>293</v>
      </c>
      <c r="B1" s="330"/>
      <c r="C1" s="330"/>
      <c r="D1" s="330"/>
      <c r="E1" s="330"/>
      <c r="F1" s="330"/>
      <c r="G1" s="98"/>
    </row>
    <row r="2" spans="1:7">
      <c r="A2" s="329" t="s">
        <v>741</v>
      </c>
      <c r="B2" s="329"/>
      <c r="C2" s="329"/>
      <c r="D2" s="329"/>
      <c r="E2" s="329"/>
      <c r="F2" s="329"/>
      <c r="G2" s="98"/>
    </row>
    <row r="3" spans="1:7" ht="16.2" thickBot="1">
      <c r="A3" s="99"/>
      <c r="B3" s="98"/>
      <c r="C3" s="98"/>
      <c r="D3" s="98"/>
      <c r="E3" s="98"/>
      <c r="F3" s="98"/>
      <c r="G3" s="98"/>
    </row>
    <row r="4" spans="1:7">
      <c r="A4" s="100" t="s">
        <v>768</v>
      </c>
      <c r="B4" s="101"/>
      <c r="C4" s="101"/>
      <c r="D4" s="101"/>
      <c r="E4" s="101"/>
      <c r="F4" s="102"/>
      <c r="G4" s="98"/>
    </row>
    <row r="5" spans="1:7">
      <c r="A5" s="103"/>
      <c r="B5" s="331" t="s">
        <v>742</v>
      </c>
      <c r="C5" s="331"/>
      <c r="D5" s="331"/>
      <c r="E5" s="331"/>
      <c r="F5" s="332"/>
      <c r="G5" s="98"/>
    </row>
    <row r="6" spans="1:7">
      <c r="A6" s="103"/>
      <c r="B6" s="124">
        <v>2018</v>
      </c>
      <c r="C6" s="124">
        <v>2017</v>
      </c>
      <c r="D6" s="124"/>
      <c r="E6" s="124"/>
      <c r="F6" s="125"/>
      <c r="G6" s="98"/>
    </row>
    <row r="7" spans="1:7">
      <c r="A7" s="103" t="s">
        <v>743</v>
      </c>
      <c r="B7" s="104">
        <f>'Income Statement'!G37</f>
        <v>-5232502.5386149865</v>
      </c>
      <c r="C7" s="104">
        <f>'Income Statement'!H37</f>
        <v>-5018971.1211313764</v>
      </c>
      <c r="D7" s="104"/>
      <c r="E7" s="104"/>
      <c r="F7" s="105"/>
      <c r="G7" s="98"/>
    </row>
    <row r="8" spans="1:7">
      <c r="A8" s="103" t="s">
        <v>744</v>
      </c>
      <c r="B8" s="104">
        <f>B7*(1-0)</f>
        <v>-5232502.5386149865</v>
      </c>
      <c r="C8" s="104">
        <f>C7*(1-0)</f>
        <v>-5018971.1211313764</v>
      </c>
      <c r="D8" s="104"/>
      <c r="E8" s="104"/>
      <c r="F8" s="105"/>
      <c r="G8" s="98"/>
    </row>
    <row r="9" spans="1:7">
      <c r="A9" s="106" t="s">
        <v>745</v>
      </c>
      <c r="B9" s="104" t="s">
        <v>48</v>
      </c>
      <c r="C9" s="104" t="s">
        <v>48</v>
      </c>
      <c r="D9" s="104"/>
      <c r="E9" s="104"/>
      <c r="F9" s="105"/>
      <c r="G9" s="98"/>
    </row>
    <row r="10" spans="1:7">
      <c r="A10" s="106" t="s">
        <v>746</v>
      </c>
      <c r="B10" s="104" t="s">
        <v>48</v>
      </c>
      <c r="C10" s="104" t="s">
        <v>48</v>
      </c>
      <c r="D10" s="104"/>
      <c r="E10" s="104"/>
      <c r="F10" s="105"/>
      <c r="G10" s="98"/>
    </row>
    <row r="11" spans="1:7">
      <c r="A11" s="106" t="s">
        <v>747</v>
      </c>
      <c r="B11" s="104" t="s">
        <v>48</v>
      </c>
      <c r="C11" s="104" t="s">
        <v>48</v>
      </c>
      <c r="D11" s="104"/>
      <c r="E11" s="104"/>
      <c r="F11" s="105"/>
      <c r="G11" s="98"/>
    </row>
    <row r="12" spans="1:7" ht="16.2" thickBot="1">
      <c r="A12" s="107" t="s">
        <v>748</v>
      </c>
      <c r="B12" s="107">
        <f>SUM(B8:B11)</f>
        <v>-5232502.5386149865</v>
      </c>
      <c r="C12" s="107">
        <f>SUM(C8:C11)</f>
        <v>-5018971.1211313764</v>
      </c>
      <c r="D12" s="107"/>
      <c r="E12" s="107"/>
      <c r="F12" s="108"/>
      <c r="G12" s="98"/>
    </row>
    <row r="13" spans="1:7" ht="16.2" thickBot="1">
      <c r="A13" s="98"/>
      <c r="B13" s="109"/>
      <c r="C13" s="109"/>
      <c r="D13" s="109"/>
      <c r="E13" s="109"/>
      <c r="F13" s="109"/>
      <c r="G13" s="98"/>
    </row>
    <row r="14" spans="1:7">
      <c r="A14" s="100" t="s">
        <v>769</v>
      </c>
      <c r="B14" s="110"/>
      <c r="C14" s="110"/>
      <c r="D14" s="110"/>
      <c r="E14" s="110"/>
      <c r="F14" s="111"/>
      <c r="G14" s="98"/>
    </row>
    <row r="15" spans="1:7">
      <c r="A15" s="112"/>
      <c r="B15" s="104"/>
      <c r="C15" s="104"/>
      <c r="D15" s="104"/>
      <c r="E15" s="104"/>
      <c r="F15" s="105"/>
      <c r="G15" s="98"/>
    </row>
    <row r="16" spans="1:7" ht="16.2" thickBot="1">
      <c r="A16" s="113" t="s">
        <v>749</v>
      </c>
      <c r="B16" s="104" t="s">
        <v>750</v>
      </c>
      <c r="C16" s="104" t="s">
        <v>751</v>
      </c>
      <c r="D16" s="104" t="s">
        <v>752</v>
      </c>
      <c r="E16" s="104"/>
      <c r="F16" s="105"/>
      <c r="G16" s="98"/>
    </row>
    <row r="17" spans="1:7" ht="16.2" thickBot="1">
      <c r="A17" s="103"/>
      <c r="B17" s="296">
        <f>WACC!C3</f>
        <v>1.0999999999999999E-2</v>
      </c>
      <c r="C17" s="297">
        <f>WACC!C4</f>
        <v>0.16055707935060742</v>
      </c>
      <c r="D17" s="298">
        <f>WACC!C5</f>
        <v>2.0424630312664451</v>
      </c>
      <c r="E17" s="104"/>
      <c r="F17" s="105"/>
      <c r="G17" s="98"/>
    </row>
    <row r="18" spans="1:7" ht="16.2" thickBot="1">
      <c r="A18" s="113" t="s">
        <v>753</v>
      </c>
      <c r="B18" s="299"/>
      <c r="C18" s="299"/>
      <c r="D18" s="104"/>
      <c r="E18" s="104"/>
      <c r="F18" s="105"/>
      <c r="G18" s="98"/>
    </row>
    <row r="19" spans="1:7" ht="16.2" thickBot="1">
      <c r="A19" s="103" t="s">
        <v>754</v>
      </c>
      <c r="B19" s="115">
        <f>B17+(D17*(C17-B17))</f>
        <v>0.31646480563779789</v>
      </c>
      <c r="C19" s="299"/>
      <c r="D19" s="104"/>
      <c r="E19" s="104"/>
      <c r="F19" s="105"/>
      <c r="G19" s="98"/>
    </row>
    <row r="20" spans="1:7">
      <c r="A20" s="103"/>
      <c r="B20" s="299"/>
      <c r="C20" s="299"/>
      <c r="D20" s="104"/>
      <c r="E20" s="104"/>
      <c r="F20" s="105"/>
      <c r="G20" s="98"/>
    </row>
    <row r="21" spans="1:7" ht="16.2" thickBot="1">
      <c r="A21" s="103"/>
      <c r="B21" s="104" t="s">
        <v>759</v>
      </c>
      <c r="C21" s="104" t="s">
        <v>756</v>
      </c>
      <c r="D21" s="104" t="s">
        <v>755</v>
      </c>
      <c r="E21" s="116"/>
      <c r="F21" s="105"/>
      <c r="G21" s="98"/>
    </row>
    <row r="22" spans="1:7" ht="16.2" thickBot="1">
      <c r="A22" s="103" t="s">
        <v>767</v>
      </c>
      <c r="B22" s="300">
        <v>0.98</v>
      </c>
      <c r="C22" s="300">
        <v>0.02</v>
      </c>
      <c r="D22" s="301">
        <f>'2016 Value'!J6</f>
        <v>2300000000</v>
      </c>
      <c r="E22" s="116"/>
      <c r="F22" s="105"/>
      <c r="G22" s="98"/>
    </row>
    <row r="23" spans="1:7" ht="16.2" thickBot="1">
      <c r="A23" s="103"/>
      <c r="B23" s="104"/>
      <c r="C23" s="104"/>
      <c r="D23" s="104"/>
      <c r="E23" s="116"/>
      <c r="F23" s="105"/>
      <c r="G23" s="98"/>
    </row>
    <row r="24" spans="1:7" ht="16.2" thickBot="1">
      <c r="A24" s="103" t="s">
        <v>757</v>
      </c>
      <c r="B24" s="302">
        <f>$D$22*B22</f>
        <v>2254000000</v>
      </c>
      <c r="C24" s="302">
        <f>$D$22*C22</f>
        <v>46000000</v>
      </c>
      <c r="D24" s="104"/>
      <c r="E24" s="116"/>
      <c r="F24" s="105"/>
      <c r="G24" s="98"/>
    </row>
    <row r="25" spans="1:7" ht="16.2" thickBot="1">
      <c r="A25" s="103" t="s">
        <v>758</v>
      </c>
      <c r="B25" s="137">
        <f>B19</f>
        <v>0.31646480563779789</v>
      </c>
      <c r="C25" s="137">
        <f>WACC!C8</f>
        <v>2.0999999999999998E-2</v>
      </c>
      <c r="D25" s="104"/>
      <c r="E25" s="116"/>
      <c r="F25" s="105"/>
      <c r="G25" s="98"/>
    </row>
    <row r="26" spans="1:7">
      <c r="A26" s="103"/>
      <c r="B26" s="104"/>
      <c r="C26" s="104"/>
      <c r="D26" s="114"/>
      <c r="E26" s="104"/>
      <c r="F26" s="105"/>
      <c r="G26" s="98"/>
    </row>
    <row r="27" spans="1:7">
      <c r="A27" s="117"/>
      <c r="B27" s="104" t="s">
        <v>759</v>
      </c>
      <c r="C27" s="104" t="s">
        <v>756</v>
      </c>
      <c r="D27" s="114"/>
      <c r="E27" s="104"/>
      <c r="F27" s="105"/>
      <c r="G27" s="98"/>
    </row>
    <row r="28" spans="1:7">
      <c r="A28" s="117" t="s">
        <v>760</v>
      </c>
      <c r="B28" s="126">
        <f>(B25)*(B24/(B24+C24))</f>
        <v>0.31013550952504193</v>
      </c>
      <c r="C28" s="126">
        <f>(1-0)*(C25)*(C24/(B24+C24))</f>
        <v>4.1999999999999996E-4</v>
      </c>
      <c r="D28" s="114"/>
      <c r="E28" s="104"/>
      <c r="F28" s="105"/>
      <c r="G28" s="98"/>
    </row>
    <row r="29" spans="1:7" ht="16.2" thickBot="1">
      <c r="A29" s="118" t="s">
        <v>761</v>
      </c>
      <c r="B29" s="127">
        <f>SUM(B28:C28)</f>
        <v>0.31055550952504191</v>
      </c>
      <c r="C29" s="119"/>
      <c r="D29" s="119"/>
      <c r="E29" s="119"/>
      <c r="F29" s="120"/>
      <c r="G29" s="98"/>
    </row>
    <row r="30" spans="1:7" ht="16.2" thickBot="1">
      <c r="A30" s="121"/>
      <c r="B30" s="109"/>
      <c r="C30" s="109"/>
      <c r="F30" s="109"/>
      <c r="G30" s="98"/>
    </row>
    <row r="31" spans="1:7">
      <c r="A31" s="100" t="s">
        <v>9</v>
      </c>
      <c r="B31" s="110"/>
      <c r="C31" s="110"/>
      <c r="D31" s="306"/>
      <c r="E31" s="307"/>
      <c r="F31" s="308"/>
    </row>
    <row r="32" spans="1:7">
      <c r="A32" s="103"/>
      <c r="B32" s="124"/>
      <c r="C32" s="124"/>
      <c r="D32" s="305" t="s">
        <v>762</v>
      </c>
      <c r="E32" s="309"/>
      <c r="F32" s="310"/>
    </row>
    <row r="33" spans="1:7">
      <c r="A33" s="103"/>
      <c r="B33" s="124">
        <v>2018</v>
      </c>
      <c r="C33" s="124">
        <v>2017</v>
      </c>
      <c r="D33" s="305" t="s">
        <v>763</v>
      </c>
      <c r="E33" s="309"/>
      <c r="F33" s="310"/>
    </row>
    <row r="34" spans="1:7">
      <c r="A34" s="303" t="s">
        <v>764</v>
      </c>
      <c r="B34" s="122">
        <f>B12</f>
        <v>-5232502.5386149865</v>
      </c>
      <c r="C34" s="122">
        <f>C12</f>
        <v>-5018971.1211313764</v>
      </c>
      <c r="D34" s="122" t="s">
        <v>48</v>
      </c>
      <c r="E34" s="309"/>
      <c r="F34" s="310"/>
    </row>
    <row r="35" spans="1:7">
      <c r="A35" s="303" t="s">
        <v>765</v>
      </c>
      <c r="B35" s="122">
        <f>B34/(1+$B$29)^2</f>
        <v>-3046481.9312419021</v>
      </c>
      <c r="C35" s="122">
        <f>C34/(1+$B$29)^1</f>
        <v>-3829651.6894200845</v>
      </c>
      <c r="D35" s="122" t="s">
        <v>48</v>
      </c>
      <c r="E35" s="309"/>
      <c r="F35" s="310"/>
    </row>
    <row r="36" spans="1:7" ht="16.2" thickBot="1">
      <c r="A36" s="303"/>
      <c r="B36" s="122"/>
      <c r="C36" s="122"/>
      <c r="D36" s="122"/>
      <c r="E36" s="309"/>
      <c r="F36" s="310"/>
    </row>
    <row r="37" spans="1:7" ht="16.2" thickBot="1">
      <c r="A37" s="304" t="s">
        <v>766</v>
      </c>
      <c r="B37" s="143">
        <f>SUM(B35:D35)</f>
        <v>-6876133.620661987</v>
      </c>
      <c r="C37" s="123"/>
      <c r="D37" s="311"/>
      <c r="E37" s="311"/>
      <c r="F37" s="312"/>
    </row>
    <row r="38" spans="1:7">
      <c r="A38" s="98"/>
      <c r="B38" s="98"/>
      <c r="C38" s="98"/>
      <c r="G38" s="98"/>
    </row>
  </sheetData>
  <mergeCells count="3">
    <mergeCell ref="A1:F1"/>
    <mergeCell ref="A2:F2"/>
    <mergeCell ref="B5:F5"/>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zoomScale="66" zoomScaleNormal="66" zoomScalePageLayoutView="66" workbookViewId="0">
      <selection activeCell="B41" sqref="B41"/>
    </sheetView>
  </sheetViews>
  <sheetFormatPr defaultColWidth="11.19921875" defaultRowHeight="15.6"/>
  <cols>
    <col min="1" max="1" width="3.69921875" style="28" customWidth="1"/>
    <col min="2" max="2" width="50.19921875" style="28" customWidth="1"/>
    <col min="3" max="3" width="20" style="28" bestFit="1" customWidth="1"/>
    <col min="4" max="4" width="20.69921875" style="28" customWidth="1"/>
    <col min="5" max="5" width="21.19921875" style="28" customWidth="1"/>
    <col min="6" max="6" width="11.19921875" style="28"/>
    <col min="7" max="7" width="30.296875" style="28" bestFit="1" customWidth="1"/>
    <col min="8" max="8" width="31.19921875" style="28" bestFit="1" customWidth="1"/>
    <col min="9" max="9" width="17.296875" style="28" bestFit="1" customWidth="1"/>
    <col min="10" max="10" width="14.69921875" style="28" bestFit="1" customWidth="1"/>
    <col min="11" max="11" width="21.296875" style="28" bestFit="1" customWidth="1"/>
    <col min="12" max="12" width="19.19921875" style="28" customWidth="1"/>
    <col min="13" max="13" width="19" style="28" customWidth="1"/>
    <col min="14" max="14" width="20.19921875" style="28" customWidth="1"/>
    <col min="15" max="16384" width="11.19921875" style="28"/>
  </cols>
  <sheetData>
    <row r="1" spans="2:14">
      <c r="B1" s="189" t="s">
        <v>802</v>
      </c>
      <c r="H1" s="339" t="s">
        <v>4</v>
      </c>
      <c r="I1" s="339"/>
      <c r="J1" s="339"/>
      <c r="K1" s="339"/>
      <c r="L1" s="339"/>
      <c r="M1" s="339"/>
      <c r="N1" s="339"/>
    </row>
    <row r="3" spans="2:14">
      <c r="B3" s="244" t="s">
        <v>120</v>
      </c>
      <c r="C3" s="345" t="s">
        <v>775</v>
      </c>
      <c r="D3" s="345"/>
      <c r="E3" s="245"/>
    </row>
    <row r="4" spans="2:14">
      <c r="B4" s="246"/>
      <c r="C4" s="247" t="s">
        <v>118</v>
      </c>
      <c r="D4" s="247" t="s">
        <v>121</v>
      </c>
      <c r="E4" s="248"/>
      <c r="H4" s="244"/>
      <c r="I4" s="345" t="s">
        <v>227</v>
      </c>
      <c r="J4" s="345"/>
      <c r="K4" s="345"/>
      <c r="L4" s="348"/>
    </row>
    <row r="5" spans="2:14">
      <c r="B5" s="246" t="s">
        <v>228</v>
      </c>
      <c r="C5" s="249">
        <v>432632</v>
      </c>
      <c r="D5" s="285">
        <f>L7-K7</f>
        <v>2.4446889133357772E-3</v>
      </c>
      <c r="E5" s="248"/>
      <c r="H5" s="246"/>
      <c r="I5" s="346" t="s">
        <v>229</v>
      </c>
      <c r="J5" s="346"/>
      <c r="K5" s="346" t="s">
        <v>230</v>
      </c>
      <c r="L5" s="347"/>
    </row>
    <row r="6" spans="2:14">
      <c r="B6" s="246" t="s">
        <v>231</v>
      </c>
      <c r="C6" s="249">
        <v>378553</v>
      </c>
      <c r="D6" s="285">
        <f>L6-K6</f>
        <v>1.4071294559099438E-2</v>
      </c>
      <c r="E6" s="248"/>
      <c r="H6" s="246" t="s">
        <v>232</v>
      </c>
      <c r="I6" s="247" t="s">
        <v>233</v>
      </c>
      <c r="J6" s="247" t="s">
        <v>234</v>
      </c>
      <c r="K6" s="270">
        <f>1/41</f>
        <v>2.4390243902439025E-2</v>
      </c>
      <c r="L6" s="271">
        <f>1/26</f>
        <v>3.8461538461538464E-2</v>
      </c>
    </row>
    <row r="7" spans="2:14">
      <c r="B7" s="246" t="s">
        <v>235</v>
      </c>
      <c r="C7" s="249">
        <v>304263</v>
      </c>
      <c r="D7" s="285">
        <f>I35</f>
        <v>4.5942292007070708E-2</v>
      </c>
      <c r="E7" s="248"/>
      <c r="H7" s="246" t="s">
        <v>236</v>
      </c>
      <c r="I7" s="247" t="s">
        <v>237</v>
      </c>
      <c r="J7" s="247" t="s">
        <v>238</v>
      </c>
      <c r="K7" s="270">
        <f>1/101</f>
        <v>9.9009900990099011E-3</v>
      </c>
      <c r="L7" s="271">
        <f>1/81</f>
        <v>1.2345679012345678E-2</v>
      </c>
    </row>
    <row r="8" spans="2:14">
      <c r="B8" s="246" t="s">
        <v>239</v>
      </c>
      <c r="C8" s="249">
        <v>227132</v>
      </c>
      <c r="D8" s="285">
        <f>I36</f>
        <v>0.15</v>
      </c>
      <c r="E8" s="248"/>
      <c r="H8" s="266" t="s">
        <v>772</v>
      </c>
      <c r="I8" s="256">
        <f>(L6-K6)/(L7-K7)</f>
        <v>5.7558630393996273</v>
      </c>
      <c r="J8" s="256"/>
      <c r="K8" s="267"/>
      <c r="L8" s="255"/>
    </row>
    <row r="9" spans="2:14">
      <c r="B9" s="246" t="s">
        <v>241</v>
      </c>
      <c r="C9" s="249">
        <v>178501</v>
      </c>
      <c r="D9" s="285">
        <f>I36</f>
        <v>0.15</v>
      </c>
      <c r="E9" s="248"/>
    </row>
    <row r="10" spans="2:14">
      <c r="B10" s="246" t="s">
        <v>242</v>
      </c>
      <c r="C10" s="249">
        <v>148738</v>
      </c>
      <c r="D10" s="285">
        <f>I37</f>
        <v>0.5</v>
      </c>
      <c r="E10" s="248"/>
    </row>
    <row r="11" spans="2:14">
      <c r="B11" s="246" t="s">
        <v>243</v>
      </c>
      <c r="C11" s="249">
        <v>101447</v>
      </c>
      <c r="D11" s="285">
        <f>I37</f>
        <v>0.5</v>
      </c>
      <c r="E11" s="248"/>
      <c r="H11" s="268" t="s">
        <v>1108</v>
      </c>
    </row>
    <row r="12" spans="2:14" s="265" customFormat="1">
      <c r="B12" s="262" t="s">
        <v>244</v>
      </c>
      <c r="C12" s="263">
        <v>223864</v>
      </c>
      <c r="D12" s="286">
        <f>I37</f>
        <v>0.5</v>
      </c>
      <c r="E12" s="264"/>
      <c r="H12" s="269">
        <v>0.15</v>
      </c>
    </row>
    <row r="13" spans="2:14">
      <c r="B13" s="246" t="s">
        <v>245</v>
      </c>
      <c r="C13" s="249">
        <v>266369</v>
      </c>
      <c r="D13" s="285">
        <f>I36</f>
        <v>0.15</v>
      </c>
      <c r="E13" s="248"/>
    </row>
    <row r="14" spans="2:14">
      <c r="B14" s="246" t="s">
        <v>246</v>
      </c>
      <c r="C14" s="249">
        <v>440173</v>
      </c>
      <c r="D14" s="285">
        <f>I35</f>
        <v>4.5942292007070708E-2</v>
      </c>
      <c r="E14" s="248"/>
    </row>
    <row r="15" spans="2:14">
      <c r="B15" s="246" t="s">
        <v>247</v>
      </c>
      <c r="C15" s="249">
        <v>1760210</v>
      </c>
      <c r="D15" s="286">
        <f>I34</f>
        <v>1.4071294559099438E-2</v>
      </c>
      <c r="E15" s="248"/>
      <c r="H15" s="281" t="s">
        <v>1110</v>
      </c>
      <c r="I15" s="274" t="s">
        <v>1106</v>
      </c>
      <c r="J15" s="274" t="s">
        <v>1109</v>
      </c>
      <c r="K15" s="274" t="s">
        <v>6</v>
      </c>
      <c r="L15" s="275" t="s">
        <v>774</v>
      </c>
    </row>
    <row r="16" spans="2:14">
      <c r="B16" s="246" t="s">
        <v>248</v>
      </c>
      <c r="C16" s="249">
        <v>2656422</v>
      </c>
      <c r="D16" s="293">
        <f>I33</f>
        <v>2.4446889133357772E-3</v>
      </c>
      <c r="E16" s="248"/>
      <c r="H16" s="246" t="s">
        <v>1111</v>
      </c>
      <c r="I16" s="247">
        <v>2004</v>
      </c>
      <c r="J16" s="247">
        <v>5</v>
      </c>
      <c r="K16" s="250">
        <v>4815479</v>
      </c>
      <c r="L16" s="272">
        <f>K16/J16</f>
        <v>963095.8</v>
      </c>
    </row>
    <row r="17" spans="2:14">
      <c r="B17" s="244" t="s">
        <v>119</v>
      </c>
      <c r="C17" s="243">
        <f>SUMPRODUCT(C5:C16,D5:D16)</f>
        <v>409672.83632417442</v>
      </c>
      <c r="D17" s="242"/>
      <c r="E17" s="248"/>
      <c r="H17" s="246" t="s">
        <v>773</v>
      </c>
      <c r="I17" s="247">
        <v>2008</v>
      </c>
      <c r="J17" s="247">
        <v>7</v>
      </c>
      <c r="K17" s="250">
        <v>9238041</v>
      </c>
      <c r="L17" s="272">
        <f>K17/J17</f>
        <v>1319720.142857143</v>
      </c>
    </row>
    <row r="18" spans="2:14">
      <c r="B18" s="246"/>
      <c r="C18" s="250"/>
      <c r="D18" s="247"/>
      <c r="E18" s="248"/>
      <c r="H18" s="266" t="s">
        <v>773</v>
      </c>
      <c r="I18" s="256">
        <v>2009</v>
      </c>
      <c r="J18" s="256">
        <v>2</v>
      </c>
      <c r="K18" s="273">
        <v>2692852</v>
      </c>
      <c r="L18" s="147">
        <f>K18/J18</f>
        <v>1346426</v>
      </c>
    </row>
    <row r="19" spans="2:14">
      <c r="B19" s="246" t="s">
        <v>1107</v>
      </c>
      <c r="C19" s="251">
        <v>2018</v>
      </c>
      <c r="D19" s="251">
        <v>2017</v>
      </c>
      <c r="E19" s="248"/>
    </row>
    <row r="20" spans="2:14" s="265" customFormat="1">
      <c r="B20" s="262"/>
      <c r="C20" s="257" t="s">
        <v>249</v>
      </c>
      <c r="D20" s="257" t="s">
        <v>249</v>
      </c>
      <c r="E20" s="259" t="s">
        <v>121</v>
      </c>
      <c r="H20" s="28"/>
      <c r="I20" s="28"/>
      <c r="J20" s="28"/>
      <c r="K20" s="28"/>
      <c r="L20" s="28"/>
      <c r="M20" s="28"/>
      <c r="N20" s="28"/>
    </row>
    <row r="21" spans="2:14">
      <c r="B21" s="246" t="s">
        <v>248</v>
      </c>
      <c r="C21" s="252">
        <v>30000000</v>
      </c>
      <c r="D21" s="252">
        <v>30000000</v>
      </c>
      <c r="E21" s="260">
        <f>L7-K7</f>
        <v>2.4446889133357772E-3</v>
      </c>
      <c r="H21" s="276" t="s">
        <v>1112</v>
      </c>
      <c r="I21" s="277"/>
      <c r="J21" s="277"/>
      <c r="K21" s="242"/>
      <c r="L21" s="275"/>
    </row>
    <row r="22" spans="2:14">
      <c r="B22" s="246" t="s">
        <v>250</v>
      </c>
      <c r="C22" s="252">
        <f>$L$25*(1+$H$12)</f>
        <v>4226410.1105823126</v>
      </c>
      <c r="D22" s="252">
        <f>$L$25*(1+$H$12)</f>
        <v>4226410.1105823126</v>
      </c>
      <c r="E22" s="260">
        <f>I34</f>
        <v>1.4071294559099438E-2</v>
      </c>
      <c r="F22" s="204"/>
      <c r="G22" s="294"/>
      <c r="H22" s="246" t="s">
        <v>1106</v>
      </c>
      <c r="I22" s="257" t="s">
        <v>1113</v>
      </c>
      <c r="J22" s="257" t="s">
        <v>1114</v>
      </c>
      <c r="K22" s="257" t="s">
        <v>1115</v>
      </c>
      <c r="L22" s="259" t="s">
        <v>806</v>
      </c>
    </row>
    <row r="23" spans="2:14">
      <c r="B23" s="246" t="s">
        <v>115</v>
      </c>
      <c r="C23" s="253">
        <f>$L$25</f>
        <v>3675139.2265933156</v>
      </c>
      <c r="D23" s="253">
        <f>$L$24</f>
        <v>3536185.100529375</v>
      </c>
      <c r="E23" s="260">
        <f>I35</f>
        <v>4.5942292007070708E-2</v>
      </c>
      <c r="F23" s="204"/>
      <c r="G23" s="294"/>
      <c r="H23" s="246">
        <v>2009</v>
      </c>
      <c r="I23" s="247">
        <f>'Fan Cost Index Data'!T23</f>
        <v>192.68</v>
      </c>
      <c r="J23" s="253">
        <f>'Fan Cost Index Data'!T8</f>
        <v>344.5</v>
      </c>
      <c r="K23" s="253">
        <f>L18/I23</f>
        <v>6987.8866514428064</v>
      </c>
      <c r="L23" s="248" t="s">
        <v>48</v>
      </c>
    </row>
    <row r="24" spans="2:14">
      <c r="B24" s="246" t="s">
        <v>116</v>
      </c>
      <c r="C24" s="253">
        <f>$L$25</f>
        <v>3675139.2265933156</v>
      </c>
      <c r="D24" s="253">
        <f>$L$24</f>
        <v>3536185.100529375</v>
      </c>
      <c r="E24" s="260">
        <f t="shared" ref="E24" si="0">I36</f>
        <v>0.15</v>
      </c>
      <c r="F24" s="204"/>
      <c r="G24" s="294"/>
      <c r="H24" s="246">
        <v>2017</v>
      </c>
      <c r="I24" s="247"/>
      <c r="J24" s="253">
        <f>'Attendance Financials'!H21</f>
        <v>506.04500000000002</v>
      </c>
      <c r="K24" s="247" t="s">
        <v>48</v>
      </c>
      <c r="L24" s="278">
        <f>$K$23*J24</f>
        <v>3536185.100529375</v>
      </c>
    </row>
    <row r="25" spans="2:14">
      <c r="B25" s="246" t="s">
        <v>117</v>
      </c>
      <c r="C25" s="253">
        <f>$L$25</f>
        <v>3675139.2265933156</v>
      </c>
      <c r="D25" s="253">
        <f>$L$24</f>
        <v>3536185.100529375</v>
      </c>
      <c r="E25" s="260">
        <f>I37</f>
        <v>0.5</v>
      </c>
      <c r="F25" s="204"/>
      <c r="G25" s="294"/>
      <c r="H25" s="266">
        <v>2018</v>
      </c>
      <c r="I25" s="256"/>
      <c r="J25" s="279">
        <f>'Attendance Financials'!I21</f>
        <v>525.93000000000006</v>
      </c>
      <c r="K25" s="256" t="s">
        <v>48</v>
      </c>
      <c r="L25" s="280">
        <f>$K$23*J25</f>
        <v>3675139.2265933156</v>
      </c>
    </row>
    <row r="26" spans="2:14">
      <c r="B26" s="244" t="s">
        <v>122</v>
      </c>
      <c r="C26" s="243">
        <f>C25*E25*L39+C24*E24*L38+C23*E23*L37+C22*E22*L36+C21*E21</f>
        <v>11126926.425979858</v>
      </c>
      <c r="D26" s="243">
        <f>D25*E25*L39+D24*E24*L38+D23*E23*L37+D22*E22*L36+D21*E21</f>
        <v>10735981.684109451</v>
      </c>
      <c r="E26" s="248"/>
      <c r="F26" s="204"/>
      <c r="G26" s="294"/>
    </row>
    <row r="27" spans="2:14">
      <c r="B27" s="246"/>
      <c r="C27" s="247"/>
      <c r="D27" s="247"/>
      <c r="E27" s="248"/>
      <c r="G27" s="294"/>
      <c r="H27" s="281" t="s">
        <v>1116</v>
      </c>
      <c r="I27" s="242"/>
      <c r="J27" s="242"/>
      <c r="K27" s="242"/>
      <c r="L27" s="242"/>
      <c r="M27" s="242"/>
      <c r="N27" s="245"/>
    </row>
    <row r="28" spans="2:14">
      <c r="B28" s="287" t="s">
        <v>125</v>
      </c>
      <c r="C28" s="132">
        <f>C26+$C$17</f>
        <v>11536599.262304032</v>
      </c>
      <c r="D28" s="133">
        <f>D26+$C$17</f>
        <v>11145654.520433625</v>
      </c>
      <c r="E28" s="259"/>
      <c r="G28" s="294"/>
      <c r="H28" s="246" t="s">
        <v>1106</v>
      </c>
      <c r="I28" s="247" t="s">
        <v>776</v>
      </c>
      <c r="J28" s="247" t="s">
        <v>777</v>
      </c>
      <c r="K28" s="247" t="s">
        <v>778</v>
      </c>
      <c r="L28" s="247" t="s">
        <v>7</v>
      </c>
      <c r="M28" s="247" t="s">
        <v>779</v>
      </c>
      <c r="N28" s="248" t="s">
        <v>780</v>
      </c>
    </row>
    <row r="29" spans="2:14">
      <c r="B29" s="254"/>
      <c r="E29" s="259"/>
      <c r="H29" s="246">
        <v>2008</v>
      </c>
      <c r="I29" s="250">
        <v>5685044</v>
      </c>
      <c r="J29" s="247">
        <f>41+J17</f>
        <v>48</v>
      </c>
      <c r="K29" s="250">
        <f>I29/J29</f>
        <v>118438.41666666667</v>
      </c>
      <c r="L29" s="250">
        <v>45079391</v>
      </c>
      <c r="M29" s="250">
        <f>L29/41</f>
        <v>1099497.3414634147</v>
      </c>
      <c r="N29" s="248">
        <f>K29/M29</f>
        <v>0.10772051209239568</v>
      </c>
    </row>
    <row r="30" spans="2:14">
      <c r="B30" s="254" t="s">
        <v>124</v>
      </c>
      <c r="C30" s="258" t="s">
        <v>251</v>
      </c>
      <c r="D30" s="258" t="s">
        <v>251</v>
      </c>
      <c r="E30" s="259" t="s">
        <v>121</v>
      </c>
      <c r="H30" s="266">
        <v>2009</v>
      </c>
      <c r="I30" s="273">
        <v>5838810</v>
      </c>
      <c r="J30" s="256">
        <f>41+J18</f>
        <v>43</v>
      </c>
      <c r="K30" s="273">
        <f>I30/J30</f>
        <v>135786.27906976745</v>
      </c>
      <c r="L30" s="273">
        <v>31803594</v>
      </c>
      <c r="M30" s="273">
        <f>L30/41</f>
        <v>775697.41463414638</v>
      </c>
      <c r="N30" s="255">
        <f>K30/M30</f>
        <v>0.17505057578902766</v>
      </c>
    </row>
    <row r="31" spans="2:14">
      <c r="B31" s="254" t="s">
        <v>250</v>
      </c>
      <c r="C31" s="252">
        <f t="shared" ref="C31:D34" si="1">C22*AVERAGE($N$29:$N$30)</f>
        <v>597553.29240120365</v>
      </c>
      <c r="D31" s="252">
        <f t="shared" si="1"/>
        <v>597553.29240120365</v>
      </c>
      <c r="E31" s="260">
        <f>L6-K6</f>
        <v>1.4071294559099438E-2</v>
      </c>
    </row>
    <row r="32" spans="2:14">
      <c r="B32" s="254" t="s">
        <v>115</v>
      </c>
      <c r="C32" s="252">
        <f t="shared" si="1"/>
        <v>519611.55860974238</v>
      </c>
      <c r="D32" s="252">
        <f t="shared" si="1"/>
        <v>499965.45391338592</v>
      </c>
      <c r="E32" s="260">
        <f>I35</f>
        <v>4.5942292007070708E-2</v>
      </c>
      <c r="H32" s="244"/>
      <c r="I32" s="245" t="s">
        <v>230</v>
      </c>
      <c r="K32" s="334" t="s">
        <v>1121</v>
      </c>
      <c r="L32" s="335"/>
    </row>
    <row r="33" spans="2:12">
      <c r="B33" s="254" t="s">
        <v>116</v>
      </c>
      <c r="C33" s="252">
        <f t="shared" si="1"/>
        <v>519611.55860974238</v>
      </c>
      <c r="D33" s="252">
        <f t="shared" si="1"/>
        <v>499965.45391338592</v>
      </c>
      <c r="E33" s="260">
        <f>I36</f>
        <v>0.15</v>
      </c>
      <c r="H33" s="246" t="s">
        <v>1120</v>
      </c>
      <c r="I33" s="261">
        <f>L7-K7</f>
        <v>2.4446889133357772E-3</v>
      </c>
      <c r="K33" s="266" t="s">
        <v>1122</v>
      </c>
      <c r="L33" s="255">
        <v>0.3</v>
      </c>
    </row>
    <row r="34" spans="2:12">
      <c r="B34" s="254" t="s">
        <v>117</v>
      </c>
      <c r="C34" s="252">
        <f t="shared" si="1"/>
        <v>519611.55860974238</v>
      </c>
      <c r="D34" s="252">
        <f t="shared" si="1"/>
        <v>499965.45391338592</v>
      </c>
      <c r="E34" s="260">
        <f>I37</f>
        <v>0.5</v>
      </c>
      <c r="H34" s="246" t="s">
        <v>1119</v>
      </c>
      <c r="I34" s="261">
        <f>L6-K6</f>
        <v>1.4071294559099438E-2</v>
      </c>
    </row>
    <row r="35" spans="2:12">
      <c r="B35" s="205" t="s">
        <v>123</v>
      </c>
      <c r="C35" s="133">
        <f>C34*E34*L39+C33*E33*L38+C32*E32*L37+C31*E31*L36</f>
        <v>1562817.2349721072</v>
      </c>
      <c r="D35" s="133">
        <f>D34*E34*L39+D33*E33*L38+D32*E32*L37+D31*E31*L36</f>
        <v>1507543.2999919981</v>
      </c>
      <c r="E35" s="255"/>
      <c r="H35" s="283" t="s">
        <v>115</v>
      </c>
      <c r="I35" s="261">
        <v>4.5942292007070708E-2</v>
      </c>
      <c r="K35" s="334" t="s">
        <v>1124</v>
      </c>
      <c r="L35" s="335"/>
    </row>
    <row r="36" spans="2:12">
      <c r="C36" s="252"/>
      <c r="H36" s="283" t="s">
        <v>1118</v>
      </c>
      <c r="I36" s="261">
        <f>I37*L33</f>
        <v>0.15</v>
      </c>
      <c r="K36" s="246" t="s">
        <v>250</v>
      </c>
      <c r="L36" s="248">
        <v>12</v>
      </c>
    </row>
    <row r="37" spans="2:12">
      <c r="H37" s="266" t="s">
        <v>117</v>
      </c>
      <c r="I37" s="284">
        <v>0.5</v>
      </c>
      <c r="K37" s="246" t="s">
        <v>115</v>
      </c>
      <c r="L37" s="248">
        <v>9</v>
      </c>
    </row>
    <row r="38" spans="2:12">
      <c r="B38" s="189" t="s">
        <v>1098</v>
      </c>
      <c r="I38" s="282"/>
      <c r="K38" s="246" t="s">
        <v>116</v>
      </c>
      <c r="L38" s="248">
        <v>6</v>
      </c>
    </row>
    <row r="39" spans="2:12">
      <c r="B39" s="28" t="s">
        <v>240</v>
      </c>
      <c r="K39" s="266" t="s">
        <v>117</v>
      </c>
      <c r="L39" s="255">
        <v>3</v>
      </c>
    </row>
    <row r="40" spans="2:12">
      <c r="B40" s="28" t="s">
        <v>126</v>
      </c>
    </row>
    <row r="41" spans="2:12">
      <c r="B41" s="28" t="s">
        <v>1123</v>
      </c>
    </row>
    <row r="42" spans="2:12">
      <c r="B42" t="s">
        <v>1117</v>
      </c>
    </row>
    <row r="43" spans="2:12">
      <c r="B43" s="206"/>
      <c r="C43" s="206"/>
      <c r="D43" s="206"/>
      <c r="E43" s="247"/>
    </row>
  </sheetData>
  <mergeCells count="7">
    <mergeCell ref="C3:D3"/>
    <mergeCell ref="K35:L35"/>
    <mergeCell ref="H1:N1"/>
    <mergeCell ref="I5:J5"/>
    <mergeCell ref="K5:L5"/>
    <mergeCell ref="I4:L4"/>
    <mergeCell ref="K32:L32"/>
  </mergeCell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zoomScale="85" zoomScaleNormal="85" zoomScalePageLayoutView="85" workbookViewId="0"/>
  </sheetViews>
  <sheetFormatPr defaultColWidth="11.19921875" defaultRowHeight="15.6"/>
  <cols>
    <col min="1" max="1" width="3" customWidth="1"/>
    <col min="2" max="2" width="38.69921875" customWidth="1"/>
    <col min="3" max="3" width="17.69921875" bestFit="1" customWidth="1"/>
  </cols>
  <sheetData>
    <row r="1" spans="2:7">
      <c r="B1" s="96" t="s">
        <v>799</v>
      </c>
      <c r="F1" s="339" t="s">
        <v>4</v>
      </c>
      <c r="G1" s="339"/>
    </row>
    <row r="3" spans="2:7">
      <c r="B3" s="144" t="s">
        <v>1083</v>
      </c>
      <c r="C3" s="326">
        <v>739000000</v>
      </c>
      <c r="F3" s="144" t="s">
        <v>798</v>
      </c>
      <c r="G3" s="190"/>
    </row>
    <row r="4" spans="2:7">
      <c r="B4" s="182" t="s">
        <v>787</v>
      </c>
      <c r="C4" s="183">
        <v>30</v>
      </c>
      <c r="F4" s="146"/>
      <c r="G4" s="217">
        <v>0.05</v>
      </c>
    </row>
    <row r="5" spans="2:7">
      <c r="B5" s="182" t="s">
        <v>788</v>
      </c>
      <c r="C5" s="225">
        <f>C3/C4</f>
        <v>24633333.333333332</v>
      </c>
    </row>
    <row r="6" spans="2:7">
      <c r="B6" s="182" t="s">
        <v>877</v>
      </c>
      <c r="C6" s="272">
        <f>228000000</f>
        <v>228000000</v>
      </c>
    </row>
    <row r="7" spans="2:7">
      <c r="B7" s="182" t="s">
        <v>878</v>
      </c>
      <c r="C7" s="272">
        <f>AVERAGE('2016 Value'!N4:N33)</f>
        <v>172666666.66666666</v>
      </c>
    </row>
    <row r="8" spans="2:7">
      <c r="B8" s="182" t="s">
        <v>881</v>
      </c>
      <c r="C8" s="272">
        <f>MIN('2016 Value'!N4:N33)</f>
        <v>124000000</v>
      </c>
    </row>
    <row r="9" spans="2:7">
      <c r="B9" s="182" t="s">
        <v>790</v>
      </c>
      <c r="C9" s="183">
        <f>C6/C7</f>
        <v>1.3204633204633205</v>
      </c>
    </row>
    <row r="10" spans="2:7">
      <c r="B10" s="182" t="s">
        <v>791</v>
      </c>
      <c r="C10" s="319">
        <f>C9*C5</f>
        <v>32527413.127413128</v>
      </c>
    </row>
    <row r="11" spans="2:7">
      <c r="B11" s="182" t="s">
        <v>792</v>
      </c>
      <c r="C11" s="319">
        <f>AVERAGE(Goodwill!B7:K7)</f>
        <v>5.4180537205078372E-2</v>
      </c>
    </row>
    <row r="12" spans="2:7">
      <c r="B12" s="182" t="s">
        <v>793</v>
      </c>
      <c r="C12" s="319">
        <f>C10*(1+C11)^2</f>
        <v>36147603.778641835</v>
      </c>
    </row>
    <row r="13" spans="2:7">
      <c r="B13" s="182" t="s">
        <v>794</v>
      </c>
      <c r="C13" s="319">
        <f>C10*(1+C11)^3</f>
        <v>38106100.370044969</v>
      </c>
    </row>
    <row r="14" spans="2:7">
      <c r="B14" s="144" t="s">
        <v>795</v>
      </c>
      <c r="C14" s="145">
        <f>C12*($G$4)</f>
        <v>1807380.1889320919</v>
      </c>
    </row>
    <row r="15" spans="2:7">
      <c r="B15" s="146" t="s">
        <v>796</v>
      </c>
      <c r="C15" s="147">
        <f>C13*($G$4)</f>
        <v>1905305.0185022485</v>
      </c>
    </row>
    <row r="18" spans="2:3">
      <c r="B18" s="189" t="s">
        <v>1102</v>
      </c>
      <c r="C18" s="16"/>
    </row>
    <row r="19" spans="2:3">
      <c r="B19" t="s">
        <v>786</v>
      </c>
    </row>
  </sheetData>
  <mergeCells count="1">
    <mergeCell ref="F1: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zoomScale="88" zoomScaleNormal="88" zoomScalePageLayoutView="88" workbookViewId="0"/>
  </sheetViews>
  <sheetFormatPr defaultColWidth="11.19921875" defaultRowHeight="15.6"/>
  <cols>
    <col min="1" max="1" width="2.69921875" customWidth="1"/>
    <col min="2" max="2" width="37" bestFit="1" customWidth="1"/>
    <col min="3" max="3" width="17.69921875" bestFit="1" customWidth="1"/>
  </cols>
  <sheetData>
    <row r="1" spans="2:3">
      <c r="B1" s="96" t="s">
        <v>885</v>
      </c>
    </row>
    <row r="3" spans="2:3">
      <c r="B3" s="144" t="s">
        <v>879</v>
      </c>
      <c r="C3" s="145">
        <v>628000000</v>
      </c>
    </row>
    <row r="4" spans="2:3">
      <c r="B4" s="182" t="s">
        <v>787</v>
      </c>
      <c r="C4" s="183">
        <v>30</v>
      </c>
    </row>
    <row r="5" spans="2:3">
      <c r="B5" s="182" t="s">
        <v>880</v>
      </c>
      <c r="C5" s="225">
        <f>C3/C4</f>
        <v>20933333.333333332</v>
      </c>
    </row>
    <row r="6" spans="2:3">
      <c r="B6" s="182" t="s">
        <v>806</v>
      </c>
      <c r="C6" s="272">
        <f>'2014 Value'!F7*1000000</f>
        <v>195000000</v>
      </c>
    </row>
    <row r="7" spans="2:3">
      <c r="B7" s="182" t="s">
        <v>878</v>
      </c>
      <c r="C7" s="272">
        <f>AVERAGE('2014 Value'!F5:F34)*1000000</f>
        <v>151866666.66666669</v>
      </c>
    </row>
    <row r="8" spans="2:3">
      <c r="B8" s="182" t="s">
        <v>789</v>
      </c>
      <c r="C8" s="272">
        <f>MIN('2014 Value'!F5:F34)*1000000</f>
        <v>109000000</v>
      </c>
    </row>
    <row r="9" spans="2:3">
      <c r="B9" s="182" t="s">
        <v>790</v>
      </c>
      <c r="C9" s="183">
        <f>C6/C7</f>
        <v>1.2840210711150131</v>
      </c>
    </row>
    <row r="10" spans="2:3">
      <c r="B10" s="182" t="s">
        <v>882</v>
      </c>
      <c r="C10" s="319">
        <f>C9*C5</f>
        <v>26878841.088674273</v>
      </c>
    </row>
    <row r="11" spans="2:3">
      <c r="B11" s="182" t="s">
        <v>792</v>
      </c>
      <c r="C11" s="319">
        <f>AVERAGE(Goodwill!B7:K7)</f>
        <v>5.4180537205078372E-2</v>
      </c>
    </row>
    <row r="12" spans="2:3">
      <c r="B12" s="182" t="s">
        <v>883</v>
      </c>
      <c r="C12" s="319">
        <f>C10*(1+C11)^4</f>
        <v>33194835.047205348</v>
      </c>
    </row>
    <row r="13" spans="2:3">
      <c r="B13" s="182" t="s">
        <v>884</v>
      </c>
      <c r="C13" s="319">
        <f>C10*(1+C11)^5</f>
        <v>34993349.042496897</v>
      </c>
    </row>
    <row r="14" spans="2:3">
      <c r="B14" s="144" t="s">
        <v>795</v>
      </c>
      <c r="C14" s="145">
        <f>C12*'Attendance Forecast'!V6</f>
        <v>865169.96581119939</v>
      </c>
    </row>
    <row r="15" spans="2:3">
      <c r="B15" s="146" t="s">
        <v>796</v>
      </c>
      <c r="C15" s="147">
        <f>C13*'Attendance Forecast'!W6</f>
        <v>1196866.1734947022</v>
      </c>
    </row>
    <row r="18" spans="2:2">
      <c r="B18" s="189" t="s">
        <v>1098</v>
      </c>
    </row>
    <row r="19" spans="2:2">
      <c r="B19" t="s">
        <v>876</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zoomScale="81" zoomScaleNormal="81" zoomScalePageLayoutView="81" workbookViewId="0"/>
  </sheetViews>
  <sheetFormatPr defaultColWidth="11.19921875" defaultRowHeight="15.6"/>
  <cols>
    <col min="1" max="1" width="2.796875" customWidth="1"/>
    <col min="2" max="2" width="21.19921875" style="1" customWidth="1"/>
    <col min="3" max="4" width="12.69921875" bestFit="1" customWidth="1"/>
    <col min="9" max="9" width="12.796875" customWidth="1"/>
  </cols>
  <sheetData>
    <row r="1" spans="2:13">
      <c r="B1" s="135" t="s">
        <v>770</v>
      </c>
      <c r="G1" s="339" t="s">
        <v>4</v>
      </c>
      <c r="H1" s="339"/>
      <c r="I1" s="339"/>
      <c r="J1" s="339"/>
      <c r="K1" s="34"/>
      <c r="L1" s="34"/>
      <c r="M1" s="34"/>
    </row>
    <row r="2" spans="2:13">
      <c r="M2" s="34"/>
    </row>
    <row r="3" spans="2:13">
      <c r="B3" s="321"/>
      <c r="C3" s="322">
        <v>2018</v>
      </c>
      <c r="D3" s="323">
        <v>2017</v>
      </c>
      <c r="H3" s="185" t="s">
        <v>1086</v>
      </c>
      <c r="I3" s="207"/>
      <c r="J3" s="208"/>
      <c r="M3" s="34"/>
    </row>
    <row r="4" spans="2:13">
      <c r="B4" s="324" t="s">
        <v>0</v>
      </c>
      <c r="C4" s="309">
        <v>41</v>
      </c>
      <c r="D4" s="183">
        <v>41</v>
      </c>
      <c r="H4" s="209">
        <v>2017</v>
      </c>
      <c r="I4" s="210">
        <v>5.0000000000000001E-3</v>
      </c>
      <c r="J4" s="211"/>
      <c r="M4" s="34"/>
    </row>
    <row r="5" spans="2:13" ht="31.2">
      <c r="B5" s="324" t="s">
        <v>113</v>
      </c>
      <c r="C5" s="325">
        <f>'Attendance Forecast'!T4*I4</f>
        <v>4405.9214050991222</v>
      </c>
      <c r="D5" s="183">
        <f>0.9*0.005*'Attendance Forecast'!U4</f>
        <v>3905.7765498467643</v>
      </c>
      <c r="H5" s="212">
        <v>2018</v>
      </c>
      <c r="I5" s="213">
        <f>I4*H8</f>
        <v>4.5000000000000005E-3</v>
      </c>
      <c r="J5" s="214"/>
      <c r="M5" s="34"/>
    </row>
    <row r="6" spans="2:13" ht="31.2">
      <c r="B6" s="324" t="s">
        <v>5</v>
      </c>
      <c r="C6" s="309">
        <v>365</v>
      </c>
      <c r="D6" s="183">
        <v>365</v>
      </c>
      <c r="G6" s="34"/>
      <c r="H6" s="34"/>
      <c r="I6" s="34"/>
      <c r="J6" s="34"/>
      <c r="M6" s="34"/>
    </row>
    <row r="7" spans="2:13" ht="31.2">
      <c r="B7" s="324" t="s">
        <v>1</v>
      </c>
      <c r="C7" s="250">
        <f>AVERAGE($I$11:$J$11)</f>
        <v>50</v>
      </c>
      <c r="D7" s="272">
        <f>AVERAGE($I$11:$J$11)</f>
        <v>50</v>
      </c>
      <c r="G7" s="34"/>
      <c r="H7" s="185" t="s">
        <v>1087</v>
      </c>
      <c r="I7" s="207"/>
      <c r="J7" s="208"/>
      <c r="M7" s="34"/>
    </row>
    <row r="8" spans="2:13">
      <c r="B8" s="134" t="s">
        <v>6</v>
      </c>
      <c r="C8" s="132">
        <f>C7*(C6+C5)</f>
        <v>238546.07025495611</v>
      </c>
      <c r="D8" s="133">
        <f>D7*(D6+D5)</f>
        <v>213538.82749233823</v>
      </c>
      <c r="G8" s="34"/>
      <c r="H8" s="212">
        <v>0.9</v>
      </c>
      <c r="I8" s="213"/>
      <c r="J8" s="214"/>
      <c r="M8" s="34"/>
    </row>
    <row r="9" spans="2:13" ht="31.2">
      <c r="B9" s="324" t="s">
        <v>2</v>
      </c>
      <c r="C9" s="309">
        <f>C7*(1-C10)</f>
        <v>4.9999999999999991</v>
      </c>
      <c r="D9" s="183">
        <f>D7*(1-D10)</f>
        <v>4.9999999999999991</v>
      </c>
      <c r="H9" s="34"/>
      <c r="I9" s="34"/>
      <c r="J9" s="34"/>
      <c r="M9" s="34"/>
    </row>
    <row r="10" spans="2:13" ht="31.2">
      <c r="B10" s="324" t="s">
        <v>3</v>
      </c>
      <c r="C10" s="250">
        <v>0.9</v>
      </c>
      <c r="D10" s="272">
        <v>0.9</v>
      </c>
      <c r="H10" s="144"/>
      <c r="I10" s="207" t="s">
        <v>1089</v>
      </c>
      <c r="J10" s="208" t="s">
        <v>1090</v>
      </c>
      <c r="M10" s="34"/>
    </row>
    <row r="11" spans="2:13">
      <c r="B11" s="134" t="s">
        <v>8</v>
      </c>
      <c r="C11" s="132">
        <f>C9*(C6+C5)</f>
        <v>23854.607025495607</v>
      </c>
      <c r="D11" s="133">
        <f>D9*(D6+D5)</f>
        <v>21353.882749233817</v>
      </c>
      <c r="H11" s="212" t="s">
        <v>1088</v>
      </c>
      <c r="I11" s="215">
        <v>30</v>
      </c>
      <c r="J11" s="216">
        <v>70</v>
      </c>
      <c r="K11" s="34"/>
      <c r="L11" s="34"/>
      <c r="M11" s="34"/>
    </row>
    <row r="12" spans="2:13">
      <c r="I12" s="34"/>
    </row>
  </sheetData>
  <mergeCells count="1">
    <mergeCell ref="G1:J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9"/>
  <sheetViews>
    <sheetView zoomScale="81" zoomScaleNormal="81" zoomScalePageLayoutView="81" workbookViewId="0"/>
  </sheetViews>
  <sheetFormatPr defaultColWidth="11.19921875" defaultRowHeight="15.6"/>
  <cols>
    <col min="1" max="1" width="3.19921875" customWidth="1"/>
    <col min="2" max="4" width="15.19921875" bestFit="1" customWidth="1"/>
    <col min="6" max="6" width="12" customWidth="1"/>
    <col min="7" max="7" width="31.19921875" style="34" bestFit="1" customWidth="1"/>
    <col min="8" max="8" width="2" customWidth="1"/>
    <col min="9" max="9" width="11.19921875" customWidth="1"/>
    <col min="11" max="11" width="1.69921875" customWidth="1"/>
    <col min="12" max="12" width="15" customWidth="1"/>
  </cols>
  <sheetData>
    <row r="1" spans="2:17">
      <c r="B1" s="96" t="s">
        <v>801</v>
      </c>
      <c r="G1" s="339" t="s">
        <v>4</v>
      </c>
      <c r="H1" s="339"/>
      <c r="I1" s="339"/>
      <c r="J1" s="339"/>
      <c r="K1" s="339"/>
      <c r="L1" s="339"/>
    </row>
    <row r="3" spans="2:17">
      <c r="B3" s="144"/>
      <c r="C3" s="288">
        <v>2018</v>
      </c>
      <c r="D3" s="289">
        <v>2017</v>
      </c>
      <c r="G3" s="185" t="s">
        <v>1126</v>
      </c>
      <c r="H3" s="235"/>
      <c r="I3" s="235" t="s">
        <v>1100</v>
      </c>
      <c r="J3" s="235"/>
      <c r="K3" s="235"/>
      <c r="L3" s="190" t="s">
        <v>1099</v>
      </c>
    </row>
    <row r="4" spans="2:17">
      <c r="B4" s="182" t="s">
        <v>10</v>
      </c>
      <c r="C4" s="224">
        <v>24272616</v>
      </c>
      <c r="D4" s="225">
        <v>23227384</v>
      </c>
      <c r="G4" s="238">
        <f>I4/L4</f>
        <v>2000000</v>
      </c>
      <c r="H4" s="236"/>
      <c r="I4" s="237">
        <v>24000000</v>
      </c>
      <c r="J4" s="236"/>
      <c r="K4" s="236"/>
      <c r="L4" s="184">
        <v>12</v>
      </c>
    </row>
    <row r="5" spans="2:17">
      <c r="B5" s="182" t="s">
        <v>13</v>
      </c>
      <c r="C5" s="224">
        <f>MEDIAN(D12:D107)+G4</f>
        <v>5204686</v>
      </c>
      <c r="D5" s="225">
        <f>MEDIAN(D12:D107)+G4+G7</f>
        <v>5871352.666666667</v>
      </c>
    </row>
    <row r="6" spans="2:17">
      <c r="B6" s="146" t="s">
        <v>114</v>
      </c>
      <c r="C6" s="290">
        <f>C4-C5</f>
        <v>19067930</v>
      </c>
      <c r="D6" s="291">
        <f>D4-D5</f>
        <v>17356031.333333332</v>
      </c>
      <c r="G6" s="185" t="s">
        <v>1127</v>
      </c>
      <c r="H6" s="235"/>
      <c r="I6" s="235" t="s">
        <v>1100</v>
      </c>
      <c r="J6" s="235"/>
      <c r="K6" s="235"/>
      <c r="L6" s="190" t="s">
        <v>1099</v>
      </c>
      <c r="P6" s="16"/>
    </row>
    <row r="7" spans="2:17">
      <c r="G7" s="295">
        <f>I7/L7</f>
        <v>666666.66666666663</v>
      </c>
      <c r="H7" s="236"/>
      <c r="I7" s="237">
        <v>8000000</v>
      </c>
      <c r="J7" s="236"/>
      <c r="K7" s="236"/>
      <c r="L7" s="184">
        <v>12</v>
      </c>
      <c r="P7" s="16"/>
    </row>
    <row r="9" spans="2:17" ht="29.55" customHeight="1">
      <c r="B9" s="340" t="s">
        <v>1097</v>
      </c>
      <c r="C9" s="340"/>
      <c r="D9" s="340"/>
    </row>
    <row r="10" spans="2:17">
      <c r="Q10" s="38"/>
    </row>
    <row r="11" spans="2:17">
      <c r="B11" s="226" t="s">
        <v>225</v>
      </c>
      <c r="C11" s="227" t="s">
        <v>224</v>
      </c>
      <c r="D11" s="228" t="s">
        <v>223</v>
      </c>
    </row>
    <row r="12" spans="2:17">
      <c r="B12" s="229">
        <v>1</v>
      </c>
      <c r="C12" s="230" t="s">
        <v>127</v>
      </c>
      <c r="D12" s="231">
        <v>26540100</v>
      </c>
      <c r="H12" s="38"/>
    </row>
    <row r="13" spans="2:17">
      <c r="B13" s="229">
        <v>2</v>
      </c>
      <c r="C13" s="230" t="s">
        <v>128</v>
      </c>
      <c r="D13" s="231">
        <v>24173913</v>
      </c>
      <c r="H13" s="38"/>
    </row>
    <row r="14" spans="2:17">
      <c r="B14" s="229">
        <v>3</v>
      </c>
      <c r="C14" s="230" t="s">
        <v>129</v>
      </c>
      <c r="D14" s="231">
        <v>23227384</v>
      </c>
      <c r="H14" s="38"/>
      <c r="P14" s="16"/>
    </row>
    <row r="15" spans="2:17">
      <c r="B15" s="229">
        <v>4</v>
      </c>
      <c r="C15" s="230" t="s">
        <v>130</v>
      </c>
      <c r="D15" s="231">
        <v>22116750</v>
      </c>
      <c r="H15" s="38"/>
    </row>
    <row r="16" spans="2:17">
      <c r="B16" s="229">
        <v>5</v>
      </c>
      <c r="C16" s="230" t="s">
        <v>131</v>
      </c>
      <c r="D16" s="231">
        <v>20869565</v>
      </c>
      <c r="H16" s="38"/>
    </row>
    <row r="17" spans="2:8">
      <c r="B17" s="229">
        <v>6</v>
      </c>
      <c r="C17" s="230" t="s">
        <v>132</v>
      </c>
      <c r="D17" s="231">
        <v>17552209</v>
      </c>
      <c r="G17" s="239"/>
      <c r="H17" s="38"/>
    </row>
    <row r="18" spans="2:8">
      <c r="B18" s="229">
        <v>7</v>
      </c>
      <c r="C18" s="230" t="s">
        <v>133</v>
      </c>
      <c r="D18" s="231">
        <v>17145838</v>
      </c>
      <c r="H18" s="38"/>
    </row>
    <row r="19" spans="2:8">
      <c r="B19" s="229">
        <v>8</v>
      </c>
      <c r="C19" s="230" t="s">
        <v>134</v>
      </c>
      <c r="D19" s="231">
        <v>17000000</v>
      </c>
      <c r="H19" s="38"/>
    </row>
    <row r="20" spans="2:8">
      <c r="B20" s="229">
        <v>9</v>
      </c>
      <c r="C20" s="230" t="s">
        <v>135</v>
      </c>
      <c r="D20" s="231">
        <v>16663575</v>
      </c>
      <c r="G20" s="239"/>
      <c r="H20" s="38"/>
    </row>
    <row r="21" spans="2:8">
      <c r="B21" s="229">
        <v>10</v>
      </c>
      <c r="C21" s="230" t="s">
        <v>136</v>
      </c>
      <c r="D21" s="231">
        <v>14000000</v>
      </c>
      <c r="H21" s="38"/>
    </row>
    <row r="22" spans="2:8">
      <c r="B22" s="229">
        <v>11</v>
      </c>
      <c r="C22" s="230" t="s">
        <v>137</v>
      </c>
      <c r="D22" s="231">
        <v>13023256</v>
      </c>
      <c r="H22" s="38"/>
    </row>
    <row r="23" spans="2:8">
      <c r="B23" s="229">
        <v>12</v>
      </c>
      <c r="C23" s="230" t="s">
        <v>138</v>
      </c>
      <c r="D23" s="231">
        <v>12500000</v>
      </c>
      <c r="G23" s="239"/>
      <c r="H23" s="38"/>
    </row>
    <row r="24" spans="2:8">
      <c r="B24" s="229">
        <v>13</v>
      </c>
      <c r="C24" s="230" t="s">
        <v>139</v>
      </c>
      <c r="D24" s="231">
        <v>12500000</v>
      </c>
      <c r="H24" s="38"/>
    </row>
    <row r="25" spans="2:8">
      <c r="B25" s="229">
        <v>14</v>
      </c>
      <c r="C25" s="230" t="s">
        <v>140</v>
      </c>
      <c r="D25" s="231">
        <v>12385364</v>
      </c>
      <c r="H25" s="38"/>
    </row>
    <row r="26" spans="2:8">
      <c r="B26" s="229">
        <v>15</v>
      </c>
      <c r="C26" s="230" t="s">
        <v>141</v>
      </c>
      <c r="D26" s="231">
        <v>11241218</v>
      </c>
      <c r="G26" s="239"/>
      <c r="H26" s="38"/>
    </row>
    <row r="27" spans="2:8">
      <c r="B27" s="229">
        <v>16</v>
      </c>
      <c r="C27" s="230" t="s">
        <v>142</v>
      </c>
      <c r="D27" s="231">
        <v>11131368</v>
      </c>
      <c r="H27" s="38"/>
    </row>
    <row r="28" spans="2:8">
      <c r="B28" s="229">
        <v>17</v>
      </c>
      <c r="C28" s="230" t="s">
        <v>143</v>
      </c>
      <c r="D28" s="231">
        <v>10852713</v>
      </c>
      <c r="H28" s="38"/>
    </row>
    <row r="29" spans="2:8">
      <c r="B29" s="229">
        <v>18</v>
      </c>
      <c r="C29" s="230" t="s">
        <v>144</v>
      </c>
      <c r="D29" s="231">
        <v>10763500</v>
      </c>
      <c r="G29" s="239"/>
      <c r="H29" s="38"/>
    </row>
    <row r="30" spans="2:8">
      <c r="B30" s="229">
        <v>19</v>
      </c>
      <c r="C30" s="230" t="s">
        <v>145</v>
      </c>
      <c r="D30" s="231">
        <v>10000000</v>
      </c>
      <c r="H30" s="38"/>
    </row>
    <row r="31" spans="2:8">
      <c r="B31" s="229">
        <v>20</v>
      </c>
      <c r="C31" s="230" t="s">
        <v>146</v>
      </c>
      <c r="D31" s="231">
        <v>9662921</v>
      </c>
      <c r="H31" s="38"/>
    </row>
    <row r="32" spans="2:8">
      <c r="B32" s="229">
        <v>21</v>
      </c>
      <c r="C32" s="230" t="s">
        <v>147</v>
      </c>
      <c r="D32" s="231">
        <v>9607500</v>
      </c>
      <c r="G32" s="239"/>
      <c r="H32" s="38"/>
    </row>
    <row r="33" spans="2:8">
      <c r="B33" s="229">
        <v>22</v>
      </c>
      <c r="C33" s="230" t="s">
        <v>148</v>
      </c>
      <c r="D33" s="231">
        <v>8801956</v>
      </c>
      <c r="H33" s="38"/>
    </row>
    <row r="34" spans="2:8">
      <c r="B34" s="229">
        <v>23</v>
      </c>
      <c r="C34" s="230" t="s">
        <v>149</v>
      </c>
      <c r="D34" s="231">
        <v>8269663</v>
      </c>
      <c r="H34" s="38"/>
    </row>
    <row r="35" spans="2:8">
      <c r="B35" s="229">
        <v>24</v>
      </c>
      <c r="C35" s="230" t="s">
        <v>150</v>
      </c>
      <c r="D35" s="231">
        <v>8000000</v>
      </c>
      <c r="G35" s="239"/>
      <c r="H35" s="38"/>
    </row>
    <row r="36" spans="2:8">
      <c r="B36" s="229">
        <v>25</v>
      </c>
      <c r="C36" s="230" t="s">
        <v>151</v>
      </c>
      <c r="D36" s="231">
        <v>7962529</v>
      </c>
      <c r="H36" s="38"/>
    </row>
    <row r="37" spans="2:8">
      <c r="B37" s="229">
        <v>26</v>
      </c>
      <c r="C37" s="230" t="s">
        <v>152</v>
      </c>
      <c r="D37" s="231">
        <v>7612172</v>
      </c>
      <c r="H37" s="38"/>
    </row>
    <row r="38" spans="2:8">
      <c r="B38" s="229">
        <v>27</v>
      </c>
      <c r="C38" s="230" t="s">
        <v>153</v>
      </c>
      <c r="D38" s="231">
        <v>7377500</v>
      </c>
      <c r="G38" s="239"/>
      <c r="H38" s="38"/>
    </row>
    <row r="39" spans="2:8">
      <c r="B39" s="229">
        <v>28</v>
      </c>
      <c r="C39" s="230" t="s">
        <v>154</v>
      </c>
      <c r="D39" s="231">
        <v>7000000</v>
      </c>
      <c r="H39" s="38"/>
    </row>
    <row r="40" spans="2:8">
      <c r="B40" s="229">
        <v>29</v>
      </c>
      <c r="C40" s="230" t="s">
        <v>155</v>
      </c>
      <c r="D40" s="231">
        <v>6800000</v>
      </c>
      <c r="H40" s="38"/>
    </row>
    <row r="41" spans="2:8">
      <c r="B41" s="229">
        <v>30</v>
      </c>
      <c r="C41" s="230" t="s">
        <v>156</v>
      </c>
      <c r="D41" s="231">
        <v>6552960</v>
      </c>
      <c r="G41" s="239"/>
      <c r="H41" s="38"/>
    </row>
    <row r="42" spans="2:8">
      <c r="B42" s="229">
        <v>31</v>
      </c>
      <c r="C42" s="230" t="s">
        <v>157</v>
      </c>
      <c r="D42" s="231">
        <v>6540000</v>
      </c>
      <c r="H42" s="38"/>
    </row>
    <row r="43" spans="2:8">
      <c r="B43" s="229">
        <v>32</v>
      </c>
      <c r="C43" s="230" t="s">
        <v>158</v>
      </c>
      <c r="D43" s="231">
        <v>6511628</v>
      </c>
      <c r="H43" s="38"/>
    </row>
    <row r="44" spans="2:8">
      <c r="B44" s="229">
        <v>33</v>
      </c>
      <c r="C44" s="230" t="s">
        <v>159</v>
      </c>
      <c r="D44" s="231">
        <v>5867971</v>
      </c>
      <c r="G44" s="239"/>
      <c r="H44" s="38"/>
    </row>
    <row r="45" spans="2:8">
      <c r="B45" s="229">
        <v>34</v>
      </c>
      <c r="C45" s="230" t="s">
        <v>160</v>
      </c>
      <c r="D45" s="231">
        <v>5628000</v>
      </c>
      <c r="H45" s="38"/>
    </row>
    <row r="46" spans="2:8">
      <c r="B46" s="229">
        <v>35</v>
      </c>
      <c r="C46" s="230" t="s">
        <v>161</v>
      </c>
      <c r="D46" s="231">
        <v>5628000</v>
      </c>
      <c r="H46" s="38"/>
    </row>
    <row r="47" spans="2:8">
      <c r="B47" s="229">
        <v>36</v>
      </c>
      <c r="C47" s="230" t="s">
        <v>162</v>
      </c>
      <c r="D47" s="231">
        <v>5505618</v>
      </c>
      <c r="G47" s="239"/>
      <c r="H47" s="38"/>
    </row>
    <row r="48" spans="2:8">
      <c r="B48" s="229">
        <v>37</v>
      </c>
      <c r="C48" s="230" t="s">
        <v>163</v>
      </c>
      <c r="D48" s="231">
        <v>5239437</v>
      </c>
      <c r="H48" s="38"/>
    </row>
    <row r="49" spans="2:8">
      <c r="B49" s="229">
        <v>38</v>
      </c>
      <c r="C49" s="230" t="s">
        <v>164</v>
      </c>
      <c r="D49" s="231">
        <v>4583450</v>
      </c>
      <c r="H49" s="38"/>
    </row>
    <row r="50" spans="2:8">
      <c r="B50" s="229">
        <v>39</v>
      </c>
      <c r="C50" s="230" t="s">
        <v>165</v>
      </c>
      <c r="D50" s="231">
        <v>4264057</v>
      </c>
      <c r="G50" s="239"/>
      <c r="H50" s="38"/>
    </row>
    <row r="51" spans="2:8">
      <c r="B51" s="229">
        <v>40</v>
      </c>
      <c r="C51" s="230" t="s">
        <v>166</v>
      </c>
      <c r="D51" s="231">
        <v>4008882</v>
      </c>
      <c r="H51" s="38"/>
    </row>
    <row r="52" spans="2:8">
      <c r="B52" s="229">
        <v>41</v>
      </c>
      <c r="C52" s="230" t="s">
        <v>167</v>
      </c>
      <c r="D52" s="231">
        <v>3940320</v>
      </c>
      <c r="H52" s="38"/>
    </row>
    <row r="53" spans="2:8">
      <c r="B53" s="229">
        <v>42</v>
      </c>
      <c r="C53" s="230" t="s">
        <v>168</v>
      </c>
      <c r="D53" s="231">
        <v>3911980</v>
      </c>
      <c r="G53" s="239"/>
      <c r="H53" s="38"/>
    </row>
    <row r="54" spans="2:8">
      <c r="B54" s="229">
        <v>43</v>
      </c>
      <c r="C54" s="230" t="s">
        <v>169</v>
      </c>
      <c r="D54" s="231">
        <v>3678319</v>
      </c>
      <c r="H54" s="38"/>
    </row>
    <row r="55" spans="2:8">
      <c r="B55" s="229">
        <v>44</v>
      </c>
      <c r="C55" s="230" t="s">
        <v>170</v>
      </c>
      <c r="D55" s="231">
        <v>3533333</v>
      </c>
      <c r="H55" s="38"/>
    </row>
    <row r="56" spans="2:8">
      <c r="B56" s="229">
        <v>45</v>
      </c>
      <c r="C56" s="230" t="s">
        <v>171</v>
      </c>
      <c r="D56" s="231">
        <v>3500000</v>
      </c>
      <c r="G56" s="239"/>
      <c r="H56" s="38"/>
    </row>
    <row r="57" spans="2:8">
      <c r="B57" s="229">
        <v>46</v>
      </c>
      <c r="C57" s="230" t="s">
        <v>172</v>
      </c>
      <c r="D57" s="231">
        <v>3488000</v>
      </c>
      <c r="H57" s="38"/>
    </row>
    <row r="58" spans="2:8">
      <c r="B58" s="229">
        <v>47</v>
      </c>
      <c r="C58" s="230" t="s">
        <v>173</v>
      </c>
      <c r="D58" s="231">
        <v>3333333</v>
      </c>
      <c r="H58" s="38"/>
    </row>
    <row r="59" spans="2:8">
      <c r="B59" s="229">
        <v>48</v>
      </c>
      <c r="C59" s="230" t="s">
        <v>174</v>
      </c>
      <c r="D59" s="231">
        <v>3219579</v>
      </c>
      <c r="G59" s="239"/>
      <c r="H59" s="38"/>
    </row>
    <row r="60" spans="2:8">
      <c r="B60" s="229">
        <v>49</v>
      </c>
      <c r="C60" s="230" t="s">
        <v>175</v>
      </c>
      <c r="D60" s="231">
        <v>3189793</v>
      </c>
      <c r="H60" s="38"/>
    </row>
    <row r="61" spans="2:8">
      <c r="B61" s="229">
        <v>50</v>
      </c>
      <c r="C61" s="230" t="s">
        <v>176</v>
      </c>
      <c r="D61" s="231">
        <v>2993040</v>
      </c>
      <c r="H61" s="38"/>
    </row>
    <row r="62" spans="2:8">
      <c r="B62" s="229">
        <v>51</v>
      </c>
      <c r="C62" s="230" t="s">
        <v>177</v>
      </c>
      <c r="D62" s="231">
        <v>2898000</v>
      </c>
      <c r="G62" s="239"/>
      <c r="H62" s="38"/>
    </row>
    <row r="63" spans="2:8">
      <c r="B63" s="229">
        <v>52</v>
      </c>
      <c r="C63" s="230" t="s">
        <v>178</v>
      </c>
      <c r="D63" s="231">
        <v>2870813</v>
      </c>
      <c r="H63" s="38"/>
    </row>
    <row r="64" spans="2:8">
      <c r="B64" s="229">
        <v>53</v>
      </c>
      <c r="C64" s="230" t="s">
        <v>179</v>
      </c>
      <c r="D64" s="231">
        <v>2281605</v>
      </c>
      <c r="H64" s="38"/>
    </row>
    <row r="65" spans="2:8">
      <c r="B65" s="229">
        <v>54</v>
      </c>
      <c r="C65" s="230" t="s">
        <v>180</v>
      </c>
      <c r="D65" s="231">
        <v>2240880</v>
      </c>
      <c r="G65" s="239"/>
      <c r="H65" s="38"/>
    </row>
    <row r="66" spans="2:8">
      <c r="B66" s="229">
        <v>55</v>
      </c>
      <c r="C66" s="230" t="s">
        <v>181</v>
      </c>
      <c r="D66" s="231">
        <v>2223600</v>
      </c>
      <c r="H66" s="38"/>
    </row>
    <row r="67" spans="2:8">
      <c r="B67" s="229">
        <v>56</v>
      </c>
      <c r="C67" s="230" t="s">
        <v>182</v>
      </c>
      <c r="D67" s="231">
        <v>2183072</v>
      </c>
      <c r="H67" s="38"/>
    </row>
    <row r="68" spans="2:8">
      <c r="B68" s="229">
        <v>57</v>
      </c>
      <c r="C68" s="230" t="s">
        <v>183</v>
      </c>
      <c r="D68" s="231">
        <v>2094089</v>
      </c>
      <c r="G68" s="239"/>
      <c r="H68" s="38"/>
    </row>
    <row r="69" spans="2:8">
      <c r="B69" s="229">
        <v>58</v>
      </c>
      <c r="C69" s="230" t="s">
        <v>184</v>
      </c>
      <c r="D69" s="231">
        <v>1825200</v>
      </c>
      <c r="H69" s="38"/>
    </row>
    <row r="70" spans="2:8">
      <c r="B70" s="229">
        <v>59</v>
      </c>
      <c r="C70" s="230" t="s">
        <v>185</v>
      </c>
      <c r="D70" s="231">
        <v>1811040</v>
      </c>
      <c r="H70" s="38"/>
    </row>
    <row r="71" spans="2:8">
      <c r="B71" s="229">
        <v>60</v>
      </c>
      <c r="C71" s="230" t="s">
        <v>186</v>
      </c>
      <c r="D71" s="231">
        <v>1655880</v>
      </c>
      <c r="G71" s="239"/>
      <c r="H71" s="38"/>
    </row>
    <row r="72" spans="2:8">
      <c r="B72" s="229">
        <v>61</v>
      </c>
      <c r="C72" s="230" t="s">
        <v>187</v>
      </c>
      <c r="D72" s="231">
        <v>1627320</v>
      </c>
      <c r="H72" s="38"/>
    </row>
    <row r="73" spans="2:8">
      <c r="B73" s="229">
        <v>62</v>
      </c>
      <c r="C73" s="230" t="s">
        <v>188</v>
      </c>
      <c r="D73" s="231">
        <v>1562280</v>
      </c>
      <c r="H73" s="38"/>
    </row>
    <row r="74" spans="2:8">
      <c r="B74" s="229">
        <v>63</v>
      </c>
      <c r="C74" s="230" t="s">
        <v>189</v>
      </c>
      <c r="D74" s="231">
        <v>1514160</v>
      </c>
      <c r="G74" s="239"/>
      <c r="H74" s="38"/>
    </row>
    <row r="75" spans="2:8">
      <c r="B75" s="229">
        <v>64</v>
      </c>
      <c r="C75" s="230" t="s">
        <v>190</v>
      </c>
      <c r="D75" s="231">
        <v>1465080</v>
      </c>
      <c r="H75" s="38"/>
    </row>
    <row r="76" spans="2:8">
      <c r="B76" s="229">
        <v>65</v>
      </c>
      <c r="C76" s="230" t="s">
        <v>191</v>
      </c>
      <c r="D76" s="231">
        <v>1439880</v>
      </c>
      <c r="H76" s="38"/>
    </row>
    <row r="77" spans="2:8">
      <c r="B77" s="229">
        <v>66</v>
      </c>
      <c r="C77" s="230" t="s">
        <v>192</v>
      </c>
      <c r="D77" s="231">
        <v>1406520</v>
      </c>
      <c r="G77" s="239"/>
      <c r="H77" s="38"/>
    </row>
    <row r="78" spans="2:8">
      <c r="B78" s="229">
        <v>67</v>
      </c>
      <c r="C78" s="230" t="s">
        <v>193</v>
      </c>
      <c r="D78" s="231">
        <v>1315448</v>
      </c>
      <c r="H78" s="38"/>
    </row>
    <row r="79" spans="2:8">
      <c r="B79" s="229">
        <v>68</v>
      </c>
      <c r="C79" s="230" t="s">
        <v>194</v>
      </c>
      <c r="D79" s="231">
        <v>1209600</v>
      </c>
      <c r="H79" s="38"/>
    </row>
    <row r="80" spans="2:8">
      <c r="B80" s="229">
        <v>69</v>
      </c>
      <c r="C80" s="230" t="s">
        <v>195</v>
      </c>
      <c r="D80" s="231">
        <v>1200240</v>
      </c>
      <c r="G80" s="239"/>
      <c r="H80" s="38"/>
    </row>
    <row r="81" spans="2:8">
      <c r="B81" s="229">
        <v>70</v>
      </c>
      <c r="C81" s="230" t="s">
        <v>196</v>
      </c>
      <c r="D81" s="231">
        <v>1050961</v>
      </c>
      <c r="H81" s="38"/>
    </row>
    <row r="82" spans="2:8">
      <c r="B82" s="229">
        <v>71</v>
      </c>
      <c r="C82" s="230" t="s">
        <v>197</v>
      </c>
      <c r="D82" s="231">
        <v>1050500</v>
      </c>
      <c r="H82" s="38"/>
    </row>
    <row r="83" spans="2:8">
      <c r="B83" s="229">
        <v>72</v>
      </c>
      <c r="C83" s="230" t="s">
        <v>198</v>
      </c>
      <c r="D83" s="231">
        <v>1015696</v>
      </c>
      <c r="G83" s="239"/>
      <c r="H83" s="38"/>
    </row>
    <row r="84" spans="2:8">
      <c r="B84" s="229">
        <v>73</v>
      </c>
      <c r="C84" s="230" t="s">
        <v>199</v>
      </c>
      <c r="D84" s="231">
        <v>1015696</v>
      </c>
      <c r="H84" s="38"/>
    </row>
    <row r="85" spans="2:8">
      <c r="B85" s="229">
        <v>74</v>
      </c>
      <c r="C85" s="230" t="s">
        <v>200</v>
      </c>
      <c r="D85" s="231">
        <v>980431</v>
      </c>
      <c r="H85" s="38"/>
    </row>
    <row r="86" spans="2:8">
      <c r="B86" s="229">
        <v>75</v>
      </c>
      <c r="C86" s="230" t="s">
        <v>201</v>
      </c>
      <c r="D86" s="231">
        <v>980431</v>
      </c>
      <c r="G86" s="239"/>
      <c r="H86" s="38"/>
    </row>
    <row r="87" spans="2:8">
      <c r="B87" s="229">
        <v>76</v>
      </c>
      <c r="C87" s="230" t="s">
        <v>202</v>
      </c>
      <c r="D87" s="231">
        <v>980431</v>
      </c>
      <c r="H87" s="38"/>
    </row>
    <row r="88" spans="2:8">
      <c r="B88" s="229">
        <v>77</v>
      </c>
      <c r="C88" s="230" t="s">
        <v>203</v>
      </c>
      <c r="D88" s="231">
        <v>980431</v>
      </c>
      <c r="H88" s="38"/>
    </row>
    <row r="89" spans="2:8">
      <c r="B89" s="229">
        <v>78</v>
      </c>
      <c r="C89" s="230" t="s">
        <v>204</v>
      </c>
      <c r="D89" s="231">
        <v>980431</v>
      </c>
      <c r="G89" s="239"/>
      <c r="H89" s="38"/>
    </row>
    <row r="90" spans="2:8">
      <c r="B90" s="229">
        <v>79</v>
      </c>
      <c r="C90" s="230" t="s">
        <v>205</v>
      </c>
      <c r="D90" s="231">
        <v>980431</v>
      </c>
      <c r="H90" s="38"/>
    </row>
    <row r="91" spans="2:8">
      <c r="B91" s="229">
        <v>80</v>
      </c>
      <c r="C91" s="230" t="s">
        <v>206</v>
      </c>
      <c r="D91" s="231">
        <v>874636</v>
      </c>
      <c r="H91" s="38"/>
    </row>
    <row r="92" spans="2:8">
      <c r="B92" s="229">
        <v>81</v>
      </c>
      <c r="C92" s="230" t="s">
        <v>207</v>
      </c>
      <c r="D92" s="231">
        <v>874636</v>
      </c>
      <c r="G92" s="239"/>
      <c r="H92" s="38"/>
    </row>
    <row r="93" spans="2:8">
      <c r="B93" s="229">
        <v>82</v>
      </c>
      <c r="C93" s="230" t="s">
        <v>208</v>
      </c>
      <c r="D93" s="231">
        <v>874636</v>
      </c>
      <c r="H93" s="38"/>
    </row>
    <row r="94" spans="2:8">
      <c r="B94" s="229">
        <v>83</v>
      </c>
      <c r="C94" s="230" t="s">
        <v>209</v>
      </c>
      <c r="D94" s="231">
        <v>874636</v>
      </c>
      <c r="H94" s="38"/>
    </row>
    <row r="95" spans="2:8">
      <c r="B95" s="229">
        <v>84</v>
      </c>
      <c r="C95" s="230" t="s">
        <v>210</v>
      </c>
      <c r="D95" s="231">
        <v>874636</v>
      </c>
      <c r="G95" s="239"/>
      <c r="H95" s="38"/>
    </row>
    <row r="96" spans="2:8">
      <c r="B96" s="229">
        <v>85</v>
      </c>
      <c r="C96" s="230" t="s">
        <v>211</v>
      </c>
      <c r="D96" s="231">
        <v>874636</v>
      </c>
      <c r="H96" s="38"/>
    </row>
    <row r="97" spans="2:8">
      <c r="B97" s="229">
        <v>86</v>
      </c>
      <c r="C97" s="230" t="s">
        <v>212</v>
      </c>
      <c r="D97" s="231">
        <v>874636</v>
      </c>
      <c r="H97" s="38"/>
    </row>
    <row r="98" spans="2:8">
      <c r="B98" s="229">
        <v>87</v>
      </c>
      <c r="C98" s="230" t="s">
        <v>213</v>
      </c>
      <c r="D98" s="231">
        <v>874636</v>
      </c>
      <c r="G98" s="239"/>
      <c r="H98" s="38"/>
    </row>
    <row r="99" spans="2:8">
      <c r="B99" s="229">
        <v>88</v>
      </c>
      <c r="C99" s="230" t="s">
        <v>214</v>
      </c>
      <c r="D99" s="231">
        <v>874636</v>
      </c>
      <c r="H99" s="38"/>
    </row>
    <row r="100" spans="2:8">
      <c r="B100" s="229">
        <v>89</v>
      </c>
      <c r="C100" s="230" t="s">
        <v>215</v>
      </c>
      <c r="D100" s="231">
        <v>874636</v>
      </c>
      <c r="H100" s="38"/>
    </row>
    <row r="101" spans="2:8">
      <c r="B101" s="229">
        <v>90</v>
      </c>
      <c r="C101" s="230" t="s">
        <v>216</v>
      </c>
      <c r="D101" s="231">
        <v>543471</v>
      </c>
      <c r="G101" s="239"/>
      <c r="H101" s="38"/>
    </row>
    <row r="102" spans="2:8">
      <c r="B102" s="229">
        <v>91</v>
      </c>
      <c r="C102" s="230" t="s">
        <v>217</v>
      </c>
      <c r="D102" s="231">
        <v>543471</v>
      </c>
      <c r="H102" s="38"/>
    </row>
    <row r="103" spans="2:8">
      <c r="B103" s="229">
        <v>92</v>
      </c>
      <c r="C103" s="230" t="s">
        <v>218</v>
      </c>
      <c r="D103" s="231">
        <v>543471</v>
      </c>
      <c r="H103" s="38"/>
    </row>
    <row r="104" spans="2:8">
      <c r="B104" s="229">
        <v>93</v>
      </c>
      <c r="C104" s="230" t="s">
        <v>219</v>
      </c>
      <c r="D104" s="231">
        <v>543471</v>
      </c>
      <c r="G104" s="239"/>
      <c r="H104" s="38"/>
    </row>
    <row r="105" spans="2:8">
      <c r="B105" s="229">
        <v>94</v>
      </c>
      <c r="C105" s="230" t="s">
        <v>220</v>
      </c>
      <c r="D105" s="231">
        <v>543471</v>
      </c>
      <c r="H105" s="38"/>
    </row>
    <row r="106" spans="2:8">
      <c r="B106" s="229">
        <v>95</v>
      </c>
      <c r="C106" s="230" t="s">
        <v>221</v>
      </c>
      <c r="D106" s="231">
        <v>543471</v>
      </c>
      <c r="H106" s="38"/>
    </row>
    <row r="107" spans="2:8">
      <c r="B107" s="232">
        <v>96</v>
      </c>
      <c r="C107" s="233" t="s">
        <v>222</v>
      </c>
      <c r="D107" s="234">
        <v>543471</v>
      </c>
      <c r="G107" s="239"/>
      <c r="H107" s="38"/>
    </row>
    <row r="108" spans="2:8">
      <c r="H108" s="38"/>
    </row>
    <row r="109" spans="2:8" s="34" customFormat="1">
      <c r="H109" s="239"/>
    </row>
    <row r="110" spans="2:8">
      <c r="B110" s="189" t="s">
        <v>1098</v>
      </c>
      <c r="G110" s="239"/>
      <c r="H110" s="38"/>
    </row>
    <row r="111" spans="2:8">
      <c r="B111" s="28" t="s">
        <v>11</v>
      </c>
      <c r="H111" s="38"/>
    </row>
    <row r="112" spans="2:8">
      <c r="B112" s="28" t="s">
        <v>771</v>
      </c>
      <c r="H112" s="38"/>
    </row>
    <row r="113" spans="2:8">
      <c r="B113" s="28" t="s">
        <v>226</v>
      </c>
      <c r="G113" s="239"/>
      <c r="H113" s="38"/>
    </row>
    <row r="114" spans="2:8">
      <c r="B114" t="s">
        <v>1128</v>
      </c>
      <c r="H114" s="38"/>
    </row>
    <row r="115" spans="2:8">
      <c r="H115" s="38"/>
    </row>
    <row r="116" spans="2:8">
      <c r="G116" s="239"/>
      <c r="H116" s="38"/>
    </row>
    <row r="117" spans="2:8">
      <c r="H117" s="38"/>
    </row>
    <row r="118" spans="2:8">
      <c r="H118" s="38"/>
    </row>
    <row r="119" spans="2:8">
      <c r="G119" s="239"/>
      <c r="H119" s="38"/>
    </row>
    <row r="120" spans="2:8">
      <c r="H120" s="38"/>
    </row>
    <row r="121" spans="2:8">
      <c r="H121" s="38"/>
    </row>
    <row r="122" spans="2:8">
      <c r="G122" s="239"/>
      <c r="H122" s="38"/>
    </row>
    <row r="123" spans="2:8">
      <c r="H123" s="38"/>
    </row>
    <row r="124" spans="2:8">
      <c r="H124" s="38"/>
    </row>
    <row r="125" spans="2:8">
      <c r="G125" s="239"/>
      <c r="H125" s="38"/>
    </row>
    <row r="126" spans="2:8">
      <c r="H126" s="38"/>
    </row>
    <row r="127" spans="2:8">
      <c r="H127" s="38"/>
    </row>
    <row r="128" spans="2:8">
      <c r="G128" s="239"/>
      <c r="H128" s="38"/>
    </row>
    <row r="129" spans="7:8">
      <c r="H129" s="38"/>
    </row>
    <row r="130" spans="7:8">
      <c r="H130" s="38"/>
    </row>
    <row r="131" spans="7:8">
      <c r="G131" s="239"/>
      <c r="H131" s="38"/>
    </row>
    <row r="132" spans="7:8">
      <c r="H132" s="38"/>
    </row>
    <row r="133" spans="7:8">
      <c r="H133" s="38"/>
    </row>
    <row r="134" spans="7:8">
      <c r="G134" s="239"/>
      <c r="H134" s="38"/>
    </row>
    <row r="135" spans="7:8">
      <c r="H135" s="38"/>
    </row>
    <row r="136" spans="7:8">
      <c r="H136" s="38"/>
    </row>
    <row r="137" spans="7:8">
      <c r="G137" s="239"/>
      <c r="H137" s="38"/>
    </row>
    <row r="138" spans="7:8">
      <c r="H138" s="38"/>
    </row>
    <row r="139" spans="7:8">
      <c r="H139" s="38"/>
    </row>
    <row r="140" spans="7:8">
      <c r="G140" s="239"/>
      <c r="H140" s="38"/>
    </row>
    <row r="141" spans="7:8">
      <c r="H141" s="38"/>
    </row>
    <row r="142" spans="7:8">
      <c r="H142" s="38"/>
    </row>
    <row r="143" spans="7:8">
      <c r="G143" s="239"/>
      <c r="H143" s="38"/>
    </row>
    <row r="144" spans="7:8">
      <c r="H144" s="38"/>
    </row>
    <row r="145" spans="7:8">
      <c r="H145" s="38"/>
    </row>
    <row r="146" spans="7:8">
      <c r="G146" s="239"/>
      <c r="H146" s="38"/>
    </row>
    <row r="147" spans="7:8">
      <c r="H147" s="38"/>
    </row>
    <row r="148" spans="7:8">
      <c r="H148" s="38"/>
    </row>
    <row r="149" spans="7:8">
      <c r="G149" s="239"/>
      <c r="H149" s="38"/>
    </row>
    <row r="150" spans="7:8">
      <c r="H150" s="38"/>
    </row>
    <row r="151" spans="7:8">
      <c r="H151" s="38"/>
    </row>
    <row r="152" spans="7:8">
      <c r="G152" s="239"/>
      <c r="H152" s="38"/>
    </row>
    <row r="153" spans="7:8">
      <c r="H153" s="38"/>
    </row>
    <row r="154" spans="7:8">
      <c r="H154" s="38"/>
    </row>
    <row r="155" spans="7:8">
      <c r="G155" s="239"/>
      <c r="H155" s="38"/>
    </row>
    <row r="156" spans="7:8">
      <c r="H156" s="38"/>
    </row>
    <row r="157" spans="7:8">
      <c r="H157" s="38"/>
    </row>
    <row r="158" spans="7:8">
      <c r="G158" s="239"/>
      <c r="H158" s="38"/>
    </row>
    <row r="159" spans="7:8">
      <c r="H159" s="38"/>
    </row>
    <row r="160" spans="7:8">
      <c r="H160" s="38"/>
    </row>
    <row r="161" spans="7:8">
      <c r="G161" s="239"/>
      <c r="H161" s="38"/>
    </row>
    <row r="162" spans="7:8">
      <c r="H162" s="38"/>
    </row>
    <row r="163" spans="7:8">
      <c r="H163" s="38"/>
    </row>
    <row r="164" spans="7:8">
      <c r="G164" s="239"/>
      <c r="H164" s="38"/>
    </row>
    <row r="165" spans="7:8">
      <c r="H165" s="38"/>
    </row>
    <row r="166" spans="7:8">
      <c r="H166" s="38"/>
    </row>
    <row r="167" spans="7:8">
      <c r="G167" s="239"/>
      <c r="H167" s="38"/>
    </row>
    <row r="168" spans="7:8">
      <c r="H168" s="38"/>
    </row>
    <row r="169" spans="7:8">
      <c r="H169" s="38"/>
    </row>
    <row r="170" spans="7:8">
      <c r="G170" s="239"/>
      <c r="H170" s="38"/>
    </row>
    <row r="171" spans="7:8">
      <c r="H171" s="38"/>
    </row>
    <row r="172" spans="7:8">
      <c r="H172" s="38"/>
    </row>
    <row r="173" spans="7:8">
      <c r="G173" s="239"/>
      <c r="H173" s="38"/>
    </row>
    <row r="174" spans="7:8">
      <c r="H174" s="38"/>
    </row>
    <row r="175" spans="7:8">
      <c r="H175" s="38"/>
    </row>
    <row r="176" spans="7:8">
      <c r="G176" s="239"/>
      <c r="H176" s="38"/>
    </row>
    <row r="177" spans="7:8">
      <c r="H177" s="38"/>
    </row>
    <row r="178" spans="7:8">
      <c r="H178" s="38"/>
    </row>
    <row r="179" spans="7:8">
      <c r="G179" s="239"/>
      <c r="H179" s="38"/>
    </row>
    <row r="180" spans="7:8">
      <c r="H180" s="38"/>
    </row>
    <row r="181" spans="7:8">
      <c r="H181" s="38"/>
    </row>
    <row r="182" spans="7:8">
      <c r="G182" s="239"/>
      <c r="H182" s="38"/>
    </row>
    <row r="183" spans="7:8">
      <c r="H183" s="38"/>
    </row>
    <row r="184" spans="7:8">
      <c r="H184" s="38"/>
    </row>
    <row r="185" spans="7:8">
      <c r="G185" s="239"/>
      <c r="H185" s="38"/>
    </row>
    <row r="186" spans="7:8">
      <c r="H186" s="38"/>
    </row>
    <row r="187" spans="7:8">
      <c r="H187" s="38"/>
    </row>
    <row r="188" spans="7:8">
      <c r="G188" s="239"/>
      <c r="H188" s="38"/>
    </row>
    <row r="189" spans="7:8">
      <c r="H189" s="38"/>
    </row>
    <row r="190" spans="7:8">
      <c r="H190" s="38"/>
    </row>
    <row r="191" spans="7:8">
      <c r="G191" s="239"/>
      <c r="H191" s="38"/>
    </row>
    <row r="192" spans="7:8">
      <c r="H192" s="38"/>
    </row>
    <row r="193" spans="7:8">
      <c r="H193" s="38"/>
    </row>
    <row r="194" spans="7:8">
      <c r="G194" s="239"/>
      <c r="H194" s="38"/>
    </row>
    <row r="195" spans="7:8">
      <c r="H195" s="38"/>
    </row>
    <row r="196" spans="7:8">
      <c r="H196" s="38"/>
    </row>
    <row r="197" spans="7:8">
      <c r="G197" s="239"/>
      <c r="H197" s="38"/>
    </row>
    <row r="198" spans="7:8">
      <c r="H198" s="38"/>
    </row>
    <row r="199" spans="7:8">
      <c r="H199" s="38"/>
    </row>
    <row r="200" spans="7:8">
      <c r="G200" s="239"/>
      <c r="H200" s="38"/>
    </row>
    <row r="201" spans="7:8">
      <c r="H201" s="38"/>
    </row>
    <row r="202" spans="7:8">
      <c r="H202" s="38"/>
    </row>
    <row r="203" spans="7:8">
      <c r="G203" s="239"/>
      <c r="H203" s="38"/>
    </row>
    <row r="204" spans="7:8">
      <c r="H204" s="38"/>
    </row>
    <row r="205" spans="7:8">
      <c r="H205" s="38"/>
    </row>
    <row r="206" spans="7:8">
      <c r="G206" s="239"/>
      <c r="H206" s="38"/>
    </row>
    <row r="207" spans="7:8">
      <c r="H207" s="38"/>
    </row>
    <row r="208" spans="7:8">
      <c r="H208" s="38"/>
    </row>
    <row r="209" spans="7:8">
      <c r="G209" s="239"/>
      <c r="H209" s="38"/>
    </row>
    <row r="210" spans="7:8">
      <c r="H210" s="38"/>
    </row>
    <row r="211" spans="7:8">
      <c r="H211" s="38"/>
    </row>
    <row r="212" spans="7:8">
      <c r="G212" s="239"/>
      <c r="H212" s="38"/>
    </row>
    <row r="213" spans="7:8">
      <c r="H213" s="38"/>
    </row>
    <row r="214" spans="7:8">
      <c r="H214" s="38"/>
    </row>
    <row r="215" spans="7:8">
      <c r="G215" s="239"/>
      <c r="H215" s="38"/>
    </row>
    <row r="216" spans="7:8">
      <c r="H216" s="38"/>
    </row>
    <row r="217" spans="7:8">
      <c r="H217" s="38"/>
    </row>
    <row r="218" spans="7:8">
      <c r="G218" s="239"/>
      <c r="H218" s="38"/>
    </row>
    <row r="219" spans="7:8">
      <c r="H219" s="38"/>
    </row>
    <row r="220" spans="7:8">
      <c r="H220" s="38"/>
    </row>
    <row r="221" spans="7:8">
      <c r="G221" s="239"/>
      <c r="H221" s="38"/>
    </row>
    <row r="222" spans="7:8">
      <c r="H222" s="38"/>
    </row>
    <row r="223" spans="7:8">
      <c r="H223" s="38"/>
    </row>
    <row r="224" spans="7:8">
      <c r="G224" s="239"/>
      <c r="H224" s="38"/>
    </row>
    <row r="225" spans="7:8">
      <c r="H225" s="38"/>
    </row>
    <row r="226" spans="7:8">
      <c r="H226" s="38"/>
    </row>
    <row r="227" spans="7:8">
      <c r="G227" s="239"/>
      <c r="H227" s="38"/>
    </row>
    <row r="228" spans="7:8">
      <c r="H228" s="38"/>
    </row>
    <row r="229" spans="7:8">
      <c r="H229" s="38"/>
    </row>
    <row r="230" spans="7:8">
      <c r="G230" s="239"/>
      <c r="H230" s="38"/>
    </row>
    <row r="231" spans="7:8">
      <c r="H231" s="38"/>
    </row>
    <row r="232" spans="7:8">
      <c r="H232" s="38"/>
    </row>
    <row r="233" spans="7:8">
      <c r="G233" s="239"/>
      <c r="H233" s="38"/>
    </row>
    <row r="234" spans="7:8">
      <c r="H234" s="38"/>
    </row>
    <row r="235" spans="7:8">
      <c r="H235" s="38"/>
    </row>
    <row r="236" spans="7:8">
      <c r="G236" s="239"/>
      <c r="H236" s="38"/>
    </row>
    <row r="237" spans="7:8">
      <c r="H237" s="38"/>
    </row>
    <row r="238" spans="7:8">
      <c r="H238" s="38"/>
    </row>
    <row r="239" spans="7:8">
      <c r="G239" s="239"/>
      <c r="H239" s="38"/>
    </row>
    <row r="240" spans="7:8">
      <c r="H240" s="38"/>
    </row>
    <row r="241" spans="7:8">
      <c r="H241" s="38"/>
    </row>
    <row r="242" spans="7:8">
      <c r="G242" s="239"/>
      <c r="H242" s="38"/>
    </row>
    <row r="243" spans="7:8">
      <c r="H243" s="38"/>
    </row>
    <row r="244" spans="7:8">
      <c r="H244" s="38"/>
    </row>
    <row r="245" spans="7:8">
      <c r="G245" s="239"/>
      <c r="H245" s="38"/>
    </row>
    <row r="246" spans="7:8">
      <c r="H246" s="38"/>
    </row>
    <row r="247" spans="7:8">
      <c r="H247" s="38"/>
    </row>
    <row r="248" spans="7:8">
      <c r="G248" s="239"/>
      <c r="H248" s="38"/>
    </row>
    <row r="249" spans="7:8">
      <c r="H249" s="38"/>
    </row>
    <row r="250" spans="7:8">
      <c r="H250" s="38"/>
    </row>
    <row r="251" spans="7:8">
      <c r="G251" s="239"/>
      <c r="H251" s="38"/>
    </row>
    <row r="252" spans="7:8">
      <c r="H252" s="38"/>
    </row>
    <row r="253" spans="7:8">
      <c r="H253" s="38"/>
    </row>
    <row r="254" spans="7:8">
      <c r="G254" s="239"/>
      <c r="H254" s="38"/>
    </row>
    <row r="255" spans="7:8">
      <c r="H255" s="38"/>
    </row>
    <row r="256" spans="7:8">
      <c r="H256" s="38"/>
    </row>
    <row r="257" spans="7:8">
      <c r="G257" s="239"/>
      <c r="H257" s="38"/>
    </row>
    <row r="258" spans="7:8">
      <c r="H258" s="38"/>
    </row>
    <row r="259" spans="7:8">
      <c r="H259" s="38"/>
    </row>
    <row r="260" spans="7:8">
      <c r="G260" s="239"/>
      <c r="H260" s="38"/>
    </row>
    <row r="261" spans="7:8">
      <c r="H261" s="38"/>
    </row>
    <row r="262" spans="7:8">
      <c r="H262" s="38"/>
    </row>
    <row r="263" spans="7:8">
      <c r="G263" s="239"/>
      <c r="H263" s="38"/>
    </row>
    <row r="264" spans="7:8">
      <c r="H264" s="38"/>
    </row>
    <row r="265" spans="7:8">
      <c r="H265" s="38"/>
    </row>
    <row r="266" spans="7:8">
      <c r="G266" s="239"/>
      <c r="H266" s="38"/>
    </row>
    <row r="267" spans="7:8">
      <c r="H267" s="38"/>
    </row>
    <row r="268" spans="7:8">
      <c r="H268" s="38"/>
    </row>
    <row r="269" spans="7:8">
      <c r="G269" s="239"/>
      <c r="H269" s="38"/>
    </row>
    <row r="270" spans="7:8">
      <c r="H270" s="38"/>
    </row>
    <row r="271" spans="7:8">
      <c r="H271" s="38"/>
    </row>
    <row r="272" spans="7:8">
      <c r="G272" s="239"/>
      <c r="H272" s="38"/>
    </row>
    <row r="273" spans="7:8">
      <c r="H273" s="38"/>
    </row>
    <row r="274" spans="7:8">
      <c r="H274" s="38"/>
    </row>
    <row r="275" spans="7:8">
      <c r="G275" s="239"/>
      <c r="H275" s="38"/>
    </row>
    <row r="276" spans="7:8">
      <c r="H276" s="38"/>
    </row>
    <row r="277" spans="7:8">
      <c r="H277" s="38"/>
    </row>
    <row r="278" spans="7:8">
      <c r="G278" s="239"/>
      <c r="H278" s="38"/>
    </row>
    <row r="279" spans="7:8">
      <c r="H279" s="38"/>
    </row>
    <row r="280" spans="7:8">
      <c r="H280" s="38"/>
    </row>
    <row r="281" spans="7:8">
      <c r="G281" s="239"/>
      <c r="H281" s="38"/>
    </row>
    <row r="282" spans="7:8">
      <c r="H282" s="38"/>
    </row>
    <row r="283" spans="7:8">
      <c r="H283" s="38"/>
    </row>
    <row r="284" spans="7:8">
      <c r="G284" s="239"/>
      <c r="H284" s="38"/>
    </row>
    <row r="285" spans="7:8">
      <c r="H285" s="38"/>
    </row>
    <row r="286" spans="7:8">
      <c r="H286" s="38"/>
    </row>
    <row r="287" spans="7:8">
      <c r="G287" s="239"/>
      <c r="H287" s="38"/>
    </row>
    <row r="288" spans="7:8">
      <c r="H288" s="38"/>
    </row>
    <row r="289" spans="7:8">
      <c r="H289" s="38"/>
    </row>
    <row r="290" spans="7:8">
      <c r="G290" s="239"/>
      <c r="H290" s="38"/>
    </row>
    <row r="291" spans="7:8">
      <c r="H291" s="38"/>
    </row>
    <row r="292" spans="7:8">
      <c r="H292" s="38"/>
    </row>
    <row r="293" spans="7:8">
      <c r="G293" s="239"/>
      <c r="H293" s="38"/>
    </row>
    <row r="294" spans="7:8">
      <c r="H294" s="38"/>
    </row>
    <row r="295" spans="7:8">
      <c r="H295" s="38"/>
    </row>
    <row r="296" spans="7:8">
      <c r="G296" s="239"/>
      <c r="H296" s="38"/>
    </row>
    <row r="297" spans="7:8">
      <c r="H297" s="38"/>
    </row>
    <row r="298" spans="7:8">
      <c r="H298" s="38"/>
    </row>
    <row r="299" spans="7:8">
      <c r="G299" s="239"/>
      <c r="H299" s="38"/>
    </row>
  </sheetData>
  <mergeCells count="2">
    <mergeCell ref="B9:D9"/>
    <mergeCell ref="G1:L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zoomScale="81" zoomScaleNormal="81" zoomScalePageLayoutView="81" workbookViewId="0"/>
  </sheetViews>
  <sheetFormatPr defaultColWidth="11.19921875" defaultRowHeight="15.6"/>
  <cols>
    <col min="1" max="1" width="2.5" customWidth="1"/>
    <col min="2" max="2" width="25.19921875" bestFit="1" customWidth="1"/>
    <col min="3" max="3" width="17.69921875" bestFit="1" customWidth="1"/>
  </cols>
  <sheetData>
    <row r="1" spans="2:3">
      <c r="B1" s="189" t="s">
        <v>1104</v>
      </c>
    </row>
    <row r="2" spans="2:3">
      <c r="B2" s="189"/>
    </row>
    <row r="3" spans="2:3">
      <c r="B3" s="144"/>
      <c r="C3" s="289" t="s">
        <v>863</v>
      </c>
    </row>
    <row r="4" spans="2:3">
      <c r="B4" s="182" t="s">
        <v>808</v>
      </c>
      <c r="C4" s="318">
        <v>50000000</v>
      </c>
    </row>
    <row r="5" spans="2:3">
      <c r="B5" s="182" t="s">
        <v>805</v>
      </c>
      <c r="C5" s="319">
        <f>'2015 Value'!F4*1000000</f>
        <v>293000000</v>
      </c>
    </row>
    <row r="6" spans="2:3">
      <c r="B6" s="182" t="s">
        <v>807</v>
      </c>
      <c r="C6" s="148">
        <f>C4/C5</f>
        <v>0.17064846416382254</v>
      </c>
    </row>
    <row r="7" spans="2:3">
      <c r="B7" s="182" t="s">
        <v>806</v>
      </c>
      <c r="C7" s="319">
        <f>'2015 Value'!F6*1000000</f>
        <v>201000000</v>
      </c>
    </row>
    <row r="8" spans="2:3">
      <c r="B8" s="146" t="s">
        <v>809</v>
      </c>
      <c r="C8" s="320">
        <f>C7*C6</f>
        <v>34300341.296928331</v>
      </c>
    </row>
    <row r="10" spans="2:3">
      <c r="B10" s="189" t="s">
        <v>1102</v>
      </c>
    </row>
    <row r="11" spans="2:3">
      <c r="B11" t="s">
        <v>804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zoomScale="83" zoomScaleNormal="83" zoomScalePageLayoutView="83" workbookViewId="0"/>
  </sheetViews>
  <sheetFormatPr defaultColWidth="11.19921875" defaultRowHeight="15.6"/>
  <cols>
    <col min="1" max="1" width="3.296875" customWidth="1"/>
    <col min="2" max="2" width="14.69921875" customWidth="1"/>
    <col min="3" max="3" width="13.69921875" customWidth="1"/>
    <col min="5" max="5" width="13" customWidth="1"/>
  </cols>
  <sheetData>
    <row r="1" spans="2:6">
      <c r="B1" s="96" t="s">
        <v>769</v>
      </c>
    </row>
    <row r="3" spans="2:6">
      <c r="B3" s="144" t="s">
        <v>253</v>
      </c>
      <c r="C3" s="314">
        <v>1.0999999999999999E-2</v>
      </c>
      <c r="E3" s="34" t="s">
        <v>252</v>
      </c>
      <c r="F3" s="34"/>
    </row>
    <row r="4" spans="2:6">
      <c r="B4" s="182" t="s">
        <v>254</v>
      </c>
      <c r="C4" s="315">
        <f>'Market Return'!C16</f>
        <v>0.16055707935060742</v>
      </c>
    </row>
    <row r="5" spans="2:6">
      <c r="B5" s="182" t="s">
        <v>91</v>
      </c>
      <c r="C5" s="183">
        <f>Beta!B18</f>
        <v>2.0424630312664451</v>
      </c>
    </row>
    <row r="6" spans="2:6">
      <c r="B6" s="182" t="s">
        <v>255</v>
      </c>
      <c r="C6" s="183">
        <f>C3+C5*(C4-C3)</f>
        <v>0.31646480563779789</v>
      </c>
    </row>
    <row r="7" spans="2:6">
      <c r="B7" s="182" t="s">
        <v>256</v>
      </c>
      <c r="C7" s="316">
        <v>0.01</v>
      </c>
      <c r="E7" t="s">
        <v>1105</v>
      </c>
    </row>
    <row r="8" spans="2:6">
      <c r="B8" s="146" t="s">
        <v>258</v>
      </c>
      <c r="C8" s="317">
        <f>C7+C3</f>
        <v>2.0999999999999998E-2</v>
      </c>
    </row>
    <row r="10" spans="2:6">
      <c r="B10" s="189" t="s">
        <v>1102</v>
      </c>
    </row>
    <row r="11" spans="2:6">
      <c r="B11" t="s">
        <v>257</v>
      </c>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85" zoomScaleNormal="85" zoomScalePageLayoutView="85" workbookViewId="0"/>
  </sheetViews>
  <sheetFormatPr defaultColWidth="8.796875" defaultRowHeight="15.6"/>
  <cols>
    <col min="1" max="1" width="19.5" bestFit="1" customWidth="1"/>
    <col min="2" max="2" width="25.796875" bestFit="1" customWidth="1"/>
    <col min="3" max="3" width="13.5" bestFit="1" customWidth="1"/>
    <col min="4" max="4" width="17.19921875" bestFit="1" customWidth="1"/>
    <col min="5" max="5" width="11.796875" bestFit="1" customWidth="1"/>
    <col min="6" max="6" width="12.5" bestFit="1" customWidth="1"/>
    <col min="7" max="7" width="11.796875" bestFit="1" customWidth="1"/>
    <col min="8" max="8" width="12.5" bestFit="1" customWidth="1"/>
    <col min="9" max="9" width="11.796875" bestFit="1" customWidth="1"/>
  </cols>
  <sheetData>
    <row r="1" spans="1:9">
      <c r="A1" t="s">
        <v>259</v>
      </c>
    </row>
    <row r="2" spans="1:9" ht="16.2" thickBot="1"/>
    <row r="3" spans="1:9">
      <c r="A3" s="40" t="s">
        <v>260</v>
      </c>
      <c r="B3" s="40"/>
    </row>
    <row r="4" spans="1:9">
      <c r="A4" s="41" t="s">
        <v>261</v>
      </c>
      <c r="B4" s="41">
        <v>0.99912828187332914</v>
      </c>
    </row>
    <row r="5" spans="1:9">
      <c r="A5" s="41" t="s">
        <v>262</v>
      </c>
      <c r="B5" s="41">
        <v>0.99825732363915054</v>
      </c>
    </row>
    <row r="6" spans="1:9">
      <c r="A6" s="41" t="s">
        <v>263</v>
      </c>
      <c r="B6" s="41">
        <v>0.9980636929323895</v>
      </c>
    </row>
    <row r="7" spans="1:9">
      <c r="A7" s="41" t="s">
        <v>264</v>
      </c>
      <c r="B7" s="41">
        <v>29039921.417168915</v>
      </c>
    </row>
    <row r="8" spans="1:9" ht="16.2" thickBot="1">
      <c r="A8" s="42" t="s">
        <v>265</v>
      </c>
      <c r="B8" s="42">
        <v>11</v>
      </c>
    </row>
    <row r="10" spans="1:9" ht="16.2" thickBot="1">
      <c r="A10" t="s">
        <v>266</v>
      </c>
    </row>
    <row r="11" spans="1:9">
      <c r="A11" s="43"/>
      <c r="B11" s="43" t="s">
        <v>267</v>
      </c>
      <c r="C11" s="43" t="s">
        <v>268</v>
      </c>
      <c r="D11" s="43" t="s">
        <v>269</v>
      </c>
      <c r="E11" s="43" t="s">
        <v>270</v>
      </c>
      <c r="F11" s="43" t="s">
        <v>271</v>
      </c>
    </row>
    <row r="12" spans="1:9">
      <c r="A12" s="41" t="s">
        <v>272</v>
      </c>
      <c r="B12" s="41">
        <v>1</v>
      </c>
      <c r="C12" s="41">
        <v>4.3476957830403973E+18</v>
      </c>
      <c r="D12" s="41">
        <v>4.3476957830403973E+18</v>
      </c>
      <c r="E12" s="41">
        <v>5155.4701231919962</v>
      </c>
      <c r="F12" s="41">
        <v>9.9670059092787538E-14</v>
      </c>
    </row>
    <row r="13" spans="1:9">
      <c r="A13" s="41" t="s">
        <v>273</v>
      </c>
      <c r="B13" s="41">
        <v>9</v>
      </c>
      <c r="C13" s="41">
        <v>7589853323238113</v>
      </c>
      <c r="D13" s="41">
        <v>843317035915345.87</v>
      </c>
      <c r="E13" s="41"/>
      <c r="F13" s="41"/>
    </row>
    <row r="14" spans="1:9" ht="16.2" thickBot="1">
      <c r="A14" s="42" t="s">
        <v>274</v>
      </c>
      <c r="B14" s="42">
        <v>10</v>
      </c>
      <c r="C14" s="42">
        <v>4.3552856363636352E+18</v>
      </c>
      <c r="D14" s="42"/>
      <c r="E14" s="42"/>
      <c r="F14" s="42"/>
    </row>
    <row r="15" spans="1:9" ht="16.2" thickBot="1"/>
    <row r="16" spans="1:9">
      <c r="A16" s="43"/>
      <c r="B16" s="43" t="s">
        <v>275</v>
      </c>
      <c r="C16" s="43" t="s">
        <v>264</v>
      </c>
      <c r="D16" s="43" t="s">
        <v>276</v>
      </c>
      <c r="E16" s="43" t="s">
        <v>277</v>
      </c>
      <c r="F16" s="43" t="s">
        <v>278</v>
      </c>
      <c r="G16" s="43" t="s">
        <v>279</v>
      </c>
      <c r="H16" s="43" t="s">
        <v>280</v>
      </c>
      <c r="I16" s="43" t="s">
        <v>281</v>
      </c>
    </row>
    <row r="17" spans="1:9">
      <c r="A17" s="41" t="s">
        <v>282</v>
      </c>
      <c r="B17" s="41">
        <v>-255341092.02704394</v>
      </c>
      <c r="C17" s="41">
        <v>17938508.303394057</v>
      </c>
      <c r="D17" s="41">
        <v>-14.234243322156955</v>
      </c>
      <c r="E17" s="41">
        <v>1.7767321405315144E-7</v>
      </c>
      <c r="F17" s="41">
        <v>-295920817.07548189</v>
      </c>
      <c r="G17" s="41">
        <v>-214761366.97860599</v>
      </c>
      <c r="H17" s="41">
        <v>-295920817.07548189</v>
      </c>
      <c r="I17" s="41">
        <v>-214761366.97860599</v>
      </c>
    </row>
    <row r="18" spans="1:9" ht="16.2" thickBot="1">
      <c r="A18" s="42" t="s">
        <v>283</v>
      </c>
      <c r="B18" s="131">
        <v>2.0424630312664451</v>
      </c>
      <c r="C18" s="42">
        <v>2.8445925436618974E-2</v>
      </c>
      <c r="D18" s="42">
        <v>71.801602511308843</v>
      </c>
      <c r="E18" s="42">
        <v>9.9670059092787538E-14</v>
      </c>
      <c r="F18" s="42">
        <v>1.9781138772875739</v>
      </c>
      <c r="G18" s="42">
        <v>2.1068121852453165</v>
      </c>
      <c r="H18" s="42">
        <v>1.9781138772875739</v>
      </c>
      <c r="I18" s="42">
        <v>2.1068121852453165</v>
      </c>
    </row>
    <row r="22" spans="1:9">
      <c r="A22" t="s">
        <v>284</v>
      </c>
    </row>
    <row r="23" spans="1:9" ht="16.2" thickBot="1"/>
    <row r="24" spans="1:9">
      <c r="A24" s="43" t="s">
        <v>285</v>
      </c>
      <c r="B24" s="43" t="s">
        <v>286</v>
      </c>
      <c r="C24" s="43" t="s">
        <v>287</v>
      </c>
      <c r="D24" s="43" t="s">
        <v>288</v>
      </c>
    </row>
    <row r="25" spans="1:9">
      <c r="A25" s="41">
        <v>1</v>
      </c>
      <c r="B25" s="41">
        <v>2288206202.9101024</v>
      </c>
      <c r="C25" s="41">
        <v>11793797.089897633</v>
      </c>
      <c r="D25" s="41">
        <v>0.42809185018308943</v>
      </c>
    </row>
    <row r="26" spans="1:9">
      <c r="A26" s="41">
        <v>2</v>
      </c>
      <c r="B26" s="41">
        <v>2003963431.0588555</v>
      </c>
      <c r="C26" s="41">
        <v>-3963431.0588555336</v>
      </c>
      <c r="D26" s="41">
        <v>-0.1438648233580313</v>
      </c>
    </row>
    <row r="27" spans="1:9">
      <c r="A27" s="41">
        <v>3</v>
      </c>
      <c r="B27" s="41">
        <v>1040193208.7052623</v>
      </c>
      <c r="C27" s="41">
        <v>-40193208.705262303</v>
      </c>
      <c r="D27" s="41">
        <v>-1.4589351460158235</v>
      </c>
    </row>
    <row r="28" spans="1:9">
      <c r="A28" s="41">
        <v>4</v>
      </c>
      <c r="B28" s="41">
        <v>784340672.98861885</v>
      </c>
      <c r="C28" s="41">
        <v>15659327.011381149</v>
      </c>
      <c r="D28" s="41">
        <v>0.56840305304780947</v>
      </c>
    </row>
    <row r="29" spans="1:9">
      <c r="A29" s="41">
        <v>5</v>
      </c>
      <c r="B29" s="41">
        <v>546393729.84607792</v>
      </c>
      <c r="C29" s="41">
        <v>53606270.153922081</v>
      </c>
      <c r="D29" s="41">
        <v>1.9458031367407744</v>
      </c>
    </row>
    <row r="30" spans="1:9">
      <c r="A30" s="41">
        <v>6</v>
      </c>
      <c r="B30" s="41">
        <v>497851191.80297887</v>
      </c>
      <c r="C30" s="41">
        <v>13148808.197021127</v>
      </c>
      <c r="D30" s="41">
        <v>0.47727611267680409</v>
      </c>
    </row>
    <row r="31" spans="1:9">
      <c r="A31" s="41">
        <v>7</v>
      </c>
      <c r="B31" s="41">
        <v>494242840.44774139</v>
      </c>
      <c r="C31" s="41">
        <v>16757159.552258611</v>
      </c>
      <c r="D31" s="41">
        <v>0.60825223478572532</v>
      </c>
    </row>
    <row r="32" spans="1:9">
      <c r="A32" s="41">
        <v>8</v>
      </c>
      <c r="B32" s="41">
        <v>519705546.23752975</v>
      </c>
      <c r="C32" s="41">
        <v>-15705546.237529755</v>
      </c>
      <c r="D32" s="41">
        <v>-0.57008072088329698</v>
      </c>
    </row>
    <row r="33" spans="1:4">
      <c r="A33" s="41">
        <v>9</v>
      </c>
      <c r="B33" s="41">
        <v>505408305.01866472</v>
      </c>
      <c r="C33" s="41">
        <v>-44408305.018664718</v>
      </c>
      <c r="D33" s="41">
        <v>-1.6119349276595163</v>
      </c>
    </row>
    <row r="34" spans="1:4">
      <c r="A34" s="41">
        <v>10</v>
      </c>
      <c r="B34" s="41">
        <v>466056850.61626446</v>
      </c>
      <c r="C34" s="41">
        <v>-5056850.6162644625</v>
      </c>
      <c r="D34" s="41">
        <v>-0.18355382239622198</v>
      </c>
    </row>
    <row r="35" spans="1:4" ht="16.2" thickBot="1">
      <c r="A35" s="42">
        <v>11</v>
      </c>
      <c r="B35" s="42">
        <v>410638020.36790168</v>
      </c>
      <c r="C35" s="42">
        <v>-1638020.3679016829</v>
      </c>
      <c r="D35" s="42">
        <v>-5.9456947121234789E-2</v>
      </c>
    </row>
  </sheetData>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zoomScale="83" zoomScaleNormal="83" zoomScalePageLayoutView="83" workbookViewId="0"/>
  </sheetViews>
  <sheetFormatPr defaultColWidth="8.796875" defaultRowHeight="15.6"/>
  <cols>
    <col min="1" max="1" width="3.5" customWidth="1"/>
    <col min="2" max="2" width="15.5" customWidth="1"/>
    <col min="3" max="3" width="19.5" bestFit="1" customWidth="1"/>
    <col min="4" max="4" width="13.19921875" bestFit="1" customWidth="1"/>
    <col min="5" max="5" width="19.19921875" customWidth="1"/>
    <col min="6" max="12" width="18.296875" bestFit="1" customWidth="1"/>
    <col min="13" max="13" width="17.296875" bestFit="1" customWidth="1"/>
  </cols>
  <sheetData>
    <row r="1" spans="2:5">
      <c r="B1" s="189" t="s">
        <v>254</v>
      </c>
    </row>
    <row r="3" spans="2:5">
      <c r="B3" s="144" t="s">
        <v>1106</v>
      </c>
      <c r="C3" s="235" t="s">
        <v>283</v>
      </c>
      <c r="D3" s="235" t="s">
        <v>254</v>
      </c>
      <c r="E3" s="190" t="s">
        <v>290</v>
      </c>
    </row>
    <row r="4" spans="2:5">
      <c r="B4" s="182">
        <v>2016</v>
      </c>
      <c r="C4" s="250">
        <v>1245333333.3333333</v>
      </c>
      <c r="D4" s="313">
        <f>(C4-C5)/C5</f>
        <v>0.1258098538496307</v>
      </c>
      <c r="E4" s="272">
        <v>2300000000</v>
      </c>
    </row>
    <row r="5" spans="2:5">
      <c r="B5" s="182">
        <v>2015</v>
      </c>
      <c r="C5" s="250">
        <v>1106166666.6666667</v>
      </c>
      <c r="D5" s="313">
        <f t="shared" ref="D5:D13" si="0">(C5-C6)/C6</f>
        <v>0.7439171790425142</v>
      </c>
      <c r="E5" s="272">
        <v>2000000000</v>
      </c>
    </row>
    <row r="6" spans="2:5">
      <c r="B6" s="182">
        <v>2014</v>
      </c>
      <c r="C6" s="250">
        <v>634300000</v>
      </c>
      <c r="D6" s="313">
        <f t="shared" si="0"/>
        <v>0.24608735511754309</v>
      </c>
      <c r="E6" s="272">
        <v>1000000000</v>
      </c>
    </row>
    <row r="7" spans="2:5">
      <c r="B7" s="182">
        <v>2013</v>
      </c>
      <c r="C7" s="250">
        <v>509033333.33333331</v>
      </c>
      <c r="D7" s="313">
        <f t="shared" si="0"/>
        <v>0.29679008152173914</v>
      </c>
      <c r="E7" s="272">
        <v>800000000</v>
      </c>
    </row>
    <row r="8" spans="2:5">
      <c r="B8" s="182">
        <v>2012</v>
      </c>
      <c r="C8" s="250">
        <v>392533333.33333331</v>
      </c>
      <c r="D8" s="313">
        <f t="shared" si="0"/>
        <v>6.4449064449064342E-2</v>
      </c>
      <c r="E8" s="272">
        <v>600000000</v>
      </c>
    </row>
    <row r="9" spans="2:5">
      <c r="B9" s="182">
        <v>2011</v>
      </c>
      <c r="C9" s="250">
        <v>368766666.66666669</v>
      </c>
      <c r="D9" s="313">
        <f t="shared" si="0"/>
        <v>4.8138056312443771E-3</v>
      </c>
      <c r="E9" s="272">
        <v>511000000</v>
      </c>
    </row>
    <row r="10" spans="2:5">
      <c r="B10" s="182">
        <v>2010</v>
      </c>
      <c r="C10" s="250">
        <v>367000000</v>
      </c>
      <c r="D10" s="313">
        <f t="shared" si="0"/>
        <v>-3.2853127196064702E-2</v>
      </c>
      <c r="E10" s="272">
        <v>511000000</v>
      </c>
    </row>
    <row r="11" spans="2:5">
      <c r="B11" s="182">
        <v>2009</v>
      </c>
      <c r="C11" s="250">
        <v>379466666.66666669</v>
      </c>
      <c r="D11" s="313">
        <f t="shared" si="0"/>
        <v>1.8793628065151242E-2</v>
      </c>
      <c r="E11" s="272">
        <v>504000000</v>
      </c>
    </row>
    <row r="12" spans="2:5">
      <c r="B12" s="182">
        <v>2008</v>
      </c>
      <c r="C12" s="250">
        <v>372466666.66666669</v>
      </c>
      <c r="D12" s="313">
        <f t="shared" si="0"/>
        <v>5.4548886372215985E-2</v>
      </c>
      <c r="E12" s="272">
        <v>461000000</v>
      </c>
    </row>
    <row r="13" spans="2:5">
      <c r="B13" s="182">
        <v>2007</v>
      </c>
      <c r="C13" s="250">
        <v>353200000</v>
      </c>
      <c r="D13" s="313">
        <f t="shared" si="0"/>
        <v>8.3214066653036128E-2</v>
      </c>
      <c r="E13" s="272">
        <v>461000000</v>
      </c>
    </row>
    <row r="14" spans="2:5">
      <c r="B14" s="146">
        <v>2006</v>
      </c>
      <c r="C14" s="273">
        <v>326066666.66666669</v>
      </c>
      <c r="D14" s="236" t="s">
        <v>48</v>
      </c>
      <c r="E14" s="147">
        <v>409000000</v>
      </c>
    </row>
    <row r="16" spans="2:5">
      <c r="B16" s="130" t="s">
        <v>254</v>
      </c>
      <c r="C16" s="241">
        <f>AVERAGE(D4:D13)</f>
        <v>0.16055707935060742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5" workbookViewId="0">
      <selection activeCell="K37" activeCellId="1" sqref="B17 K37"/>
    </sheetView>
  </sheetViews>
  <sheetFormatPr defaultColWidth="8.796875" defaultRowHeight="15.6"/>
  <cols>
    <col min="1" max="1" width="22.296875" bestFit="1" customWidth="1"/>
    <col min="2" max="7" width="11.796875" bestFit="1" customWidth="1"/>
    <col min="8" max="10" width="12.5" bestFit="1" customWidth="1"/>
    <col min="11" max="11" width="11.796875" bestFit="1" customWidth="1"/>
    <col min="12" max="12" width="4.796875" bestFit="1" customWidth="1"/>
    <col min="14" max="14" width="17.796875" bestFit="1" customWidth="1"/>
  </cols>
  <sheetData>
    <row r="1" spans="1:14">
      <c r="B1">
        <v>2016</v>
      </c>
      <c r="C1">
        <v>2015</v>
      </c>
      <c r="D1">
        <v>2014</v>
      </c>
      <c r="E1">
        <v>2013</v>
      </c>
      <c r="F1">
        <v>2012</v>
      </c>
      <c r="G1">
        <v>2011</v>
      </c>
      <c r="H1">
        <v>2010</v>
      </c>
      <c r="I1">
        <v>2009</v>
      </c>
      <c r="J1">
        <v>2008</v>
      </c>
      <c r="K1">
        <v>2007</v>
      </c>
      <c r="L1">
        <v>2006</v>
      </c>
    </row>
    <row r="2" spans="1:14">
      <c r="A2" t="s">
        <v>291</v>
      </c>
      <c r="B2">
        <f>('Value Compilation'!B2-'Value Compilation'!C2)/'Value Compilation'!C2</f>
        <v>0.2</v>
      </c>
      <c r="C2">
        <f>('Value Compilation'!C2-'Value Compilation'!D2)/'Value Compilation'!D2</f>
        <v>0.7857142857142857</v>
      </c>
      <c r="D2">
        <f>('Value Compilation'!D2-'Value Compilation'!E2)/'Value Compilation'!E2</f>
        <v>0.27272727272727271</v>
      </c>
      <c r="E2">
        <f>('Value Compilation'!E2-'Value Compilation'!F2)/'Value Compilation'!F2</f>
        <v>0.41025641025641024</v>
      </c>
      <c r="F2">
        <f>('Value Compilation'!F2-'Value Compilation'!G2)/'Value Compilation'!G2</f>
        <v>0.19083969465648856</v>
      </c>
      <c r="G2">
        <f>('Value Compilation'!G2-'Value Compilation'!H2)/'Value Compilation'!H2</f>
        <v>0.11774744027303755</v>
      </c>
      <c r="H2">
        <f>('Value Compilation'!H2-'Value Compilation'!I2)/'Value Compilation'!I2</f>
        <v>-4.4045676998368678E-2</v>
      </c>
      <c r="I2">
        <f>('Value Compilation'!I2-'Value Compilation'!J2)/'Value Compilation'!J2</f>
        <v>8.2236842105263153E-3</v>
      </c>
      <c r="J2">
        <f>('Value Compilation'!J2-'Value Compilation'!K2)/'Value Compilation'!K2</f>
        <v>2.7027027027027029E-2</v>
      </c>
      <c r="K2">
        <f>('Value Compilation'!K2-'Value Compilation'!L2)/'Value Compilation'!L2</f>
        <v>9.0239410681399637E-2</v>
      </c>
      <c r="L2" t="s">
        <v>48</v>
      </c>
    </row>
    <row r="3" spans="1:14">
      <c r="A3" t="s">
        <v>292</v>
      </c>
      <c r="B3">
        <f>('Value Compilation'!B3-'Value Compilation'!C3)/'Value Compilation'!C3</f>
        <v>3.8461538461538464E-2</v>
      </c>
      <c r="C3">
        <f>('Value Compilation'!C3-'Value Compilation'!D3)/'Value Compilation'!D3</f>
        <v>0.92592592592592593</v>
      </c>
      <c r="D3">
        <f>('Value Compilation'!D3-'Value Compilation'!E3)/'Value Compilation'!E3</f>
        <v>0.35</v>
      </c>
      <c r="E3">
        <f>('Value Compilation'!E3-'Value Compilation'!F3)/'Value Compilation'!F3</f>
        <v>0.1111111111111111</v>
      </c>
      <c r="F3">
        <f>('Value Compilation'!F3-'Value Compilation'!G3)/'Value Compilation'!G3</f>
        <v>0.39968895800933124</v>
      </c>
      <c r="G3">
        <f>('Value Compilation'!G3-'Value Compilation'!H3)/'Value Compilation'!H3</f>
        <v>5.9308072487644151E-2</v>
      </c>
      <c r="H3">
        <f>('Value Compilation'!H3-'Value Compilation'!I3)/'Value Compilation'!I3</f>
        <v>3.9383561643835614E-2</v>
      </c>
      <c r="I3">
        <f>('Value Compilation'!I3-'Value Compilation'!J3)/'Value Compilation'!J3</f>
        <v>4.2857142857142858E-2</v>
      </c>
      <c r="J3">
        <f>('Value Compilation'!J3-'Value Compilation'!K3)/'Value Compilation'!K3</f>
        <v>-1.4084507042253521E-2</v>
      </c>
      <c r="K3">
        <f>('Value Compilation'!K3-'Value Compilation'!L3)/'Value Compilation'!L3</f>
        <v>7.3724007561436669E-2</v>
      </c>
      <c r="L3" t="s">
        <v>48</v>
      </c>
    </row>
    <row r="4" spans="1:14">
      <c r="A4" t="s">
        <v>293</v>
      </c>
      <c r="B4">
        <f>('Value Compilation'!B4-'Value Compilation'!C4)/'Value Compilation'!C4</f>
        <v>0.15</v>
      </c>
      <c r="C4">
        <f>('Value Compilation'!C4-'Value Compilation'!D4)/'Value Compilation'!D4</f>
        <v>1</v>
      </c>
      <c r="D4">
        <f>('Value Compilation'!D4-'Value Compilation'!E4)/'Value Compilation'!E4</f>
        <v>0.25</v>
      </c>
      <c r="E4">
        <f>('Value Compilation'!E4-'Value Compilation'!F4)/'Value Compilation'!F4</f>
        <v>0.33333333333333331</v>
      </c>
      <c r="F4" t="e">
        <f>('Value Compilation'!F4-'Value Compilation'!G4)/'Value Compilation'!G4</f>
        <v>#N/A</v>
      </c>
      <c r="G4" t="e">
        <f>('Value Compilation'!G4-'Value Compilation'!H4)/'Value Compilation'!H4</f>
        <v>#N/A</v>
      </c>
      <c r="H4" t="e">
        <f>('Value Compilation'!H4-'Value Compilation'!I4)/'Value Compilation'!I4</f>
        <v>#N/A</v>
      </c>
      <c r="I4">
        <f>('Value Compilation'!I4-'Value Compilation'!J4)/'Value Compilation'!J4</f>
        <v>8.0000000000000002E-3</v>
      </c>
      <c r="J4">
        <f>('Value Compilation'!J4-'Value Compilation'!K4)/'Value Compilation'!K4</f>
        <v>8.4598698481561818E-2</v>
      </c>
      <c r="K4">
        <f>('Value Compilation'!K4-'Value Compilation'!L4)/'Value Compilation'!L4</f>
        <v>0.12713936430317849</v>
      </c>
      <c r="L4" t="s">
        <v>48</v>
      </c>
    </row>
    <row r="5" spans="1:14">
      <c r="A5" t="s">
        <v>294</v>
      </c>
      <c r="B5">
        <f>('Value Compilation'!B5-'Value Compilation'!C5)/'Value Compilation'!C5</f>
        <v>0.23529411764705882</v>
      </c>
      <c r="C5">
        <f>('Value Compilation'!C5-'Value Compilation'!D5)/'Value Compilation'!D5</f>
        <v>0.94285714285714284</v>
      </c>
      <c r="D5">
        <f>('Value Compilation'!D5-'Value Compilation'!E5)/'Value Compilation'!E5</f>
        <v>0.19863013698630136</v>
      </c>
      <c r="E5">
        <f>('Value Compilation'!E5-'Value Compilation'!F5)/'Value Compilation'!F5</f>
        <v>0.51452282157676343</v>
      </c>
      <c r="F5" t="e">
        <f>('Value Compilation'!F5-'Value Compilation'!G5)/'Value Compilation'!G5</f>
        <v>#N/A</v>
      </c>
      <c r="G5" t="e">
        <f>('Value Compilation'!G5-'Value Compilation'!H5)/'Value Compilation'!H5</f>
        <v>#N/A</v>
      </c>
      <c r="H5" t="e">
        <f>('Value Compilation'!H5-'Value Compilation'!I5)/'Value Compilation'!I5</f>
        <v>#N/A</v>
      </c>
      <c r="I5">
        <f>('Value Compilation'!I5-'Value Compilation'!J5)/'Value Compilation'!J5</f>
        <v>0.14322250639386189</v>
      </c>
      <c r="J5">
        <f>('Value Compilation'!J5-'Value Compilation'!K5)/'Value Compilation'!K5</f>
        <v>6.5395095367847406E-2</v>
      </c>
      <c r="K5">
        <f>('Value Compilation'!K5-'Value Compilation'!L5)/'Value Compilation'!L5</f>
        <v>3.9660056657223795E-2</v>
      </c>
      <c r="L5" t="s">
        <v>48</v>
      </c>
    </row>
    <row r="6" spans="1:14">
      <c r="A6" t="s">
        <v>295</v>
      </c>
      <c r="B6">
        <f>('Value Compilation'!B6-'Value Compilation'!C6)/'Value Compilation'!C6</f>
        <v>0.25</v>
      </c>
      <c r="C6">
        <f>('Value Compilation'!C6-'Value Compilation'!D6)/'Value Compilation'!D6</f>
        <v>1.7826086956521738</v>
      </c>
      <c r="D6">
        <f>('Value Compilation'!D6-'Value Compilation'!E6)/'Value Compilation'!E6</f>
        <v>0.33720930232558138</v>
      </c>
      <c r="E6">
        <f>('Value Compilation'!E6-'Value Compilation'!F6)/'Value Compilation'!F6</f>
        <v>0.3271604938271605</v>
      </c>
      <c r="F6">
        <f>('Value Compilation'!F6-'Value Compilation'!G6)/'Value Compilation'!G6</f>
        <v>6.2295081967213117E-2</v>
      </c>
      <c r="G6" t="e">
        <f>('Value Compilation'!G6-'Value Compilation'!H6)/'Value Compilation'!H6</f>
        <v>#N/A</v>
      </c>
      <c r="H6" t="e">
        <f>('Value Compilation'!H6-'Value Compilation'!I6)/'Value Compilation'!I6</f>
        <v>#N/A</v>
      </c>
      <c r="I6">
        <f>('Value Compilation'!I6-'Value Compilation'!J6)/'Value Compilation'!J6</f>
        <v>1.020408163265306E-2</v>
      </c>
      <c r="J6">
        <f>('Value Compilation'!J6-'Value Compilation'!K6)/'Value Compilation'!K6</f>
        <v>3.1578947368421054E-2</v>
      </c>
      <c r="K6">
        <f>('Value Compilation'!K6-'Value Compilation'!L6)/'Value Compilation'!L6</f>
        <v>0.14919354838709678</v>
      </c>
      <c r="L6" t="s">
        <v>48</v>
      </c>
    </row>
    <row r="7" spans="1:14">
      <c r="A7" t="s">
        <v>296</v>
      </c>
      <c r="B7">
        <f>('Value Compilation'!B7-'Value Compilation'!C7)/'Value Compilation'!C7</f>
        <v>0.46153846153846156</v>
      </c>
      <c r="C7">
        <f>('Value Compilation'!C7-'Value Compilation'!D7)/'Value Compilation'!D7</f>
        <v>0.73333333333333328</v>
      </c>
      <c r="D7">
        <f>('Value Compilation'!D7-'Value Compilation'!E7)/'Value Compilation'!E7</f>
        <v>0.35135135135135137</v>
      </c>
      <c r="E7">
        <f>('Value Compilation'!E7-'Value Compilation'!F7)/'Value Compilation'!F7</f>
        <v>0.23333333333333334</v>
      </c>
      <c r="F7" t="e">
        <f>('Value Compilation'!F7-'Value Compilation'!G7)/'Value Compilation'!G7</f>
        <v>#N/A</v>
      </c>
      <c r="G7" t="e">
        <f>('Value Compilation'!G7-'Value Compilation'!H7)/'Value Compilation'!H7</f>
        <v>#N/A</v>
      </c>
      <c r="H7" t="e">
        <f>('Value Compilation'!H7-'Value Compilation'!I7)/'Value Compilation'!I7</f>
        <v>#N/A</v>
      </c>
      <c r="I7">
        <f>('Value Compilation'!I7-'Value Compilation'!J7)/'Value Compilation'!J7</f>
        <v>8.4142394822006472E-2</v>
      </c>
      <c r="J7">
        <f>('Value Compilation'!J7-'Value Compilation'!K7)/'Value Compilation'!K7</f>
        <v>0.15730337078651685</v>
      </c>
      <c r="K7">
        <f>('Value Compilation'!K7-'Value Compilation'!L7)/'Value Compilation'!L7</f>
        <v>9.8765432098765427E-2</v>
      </c>
      <c r="L7" t="s">
        <v>48</v>
      </c>
    </row>
    <row r="8" spans="1:14">
      <c r="A8" t="s">
        <v>297</v>
      </c>
      <c r="B8">
        <f>('Value Compilation'!B8-'Value Compilation'!C8)/'Value Compilation'!C8</f>
        <v>0.13333333333333333</v>
      </c>
      <c r="C8">
        <f>('Value Compilation'!C8-'Value Compilation'!D8)/'Value Compilation'!D8</f>
        <v>0.92307692307692313</v>
      </c>
      <c r="D8">
        <f>('Value Compilation'!D8-'Value Compilation'!E8)/'Value Compilation'!E8</f>
        <v>0.47169811320754718</v>
      </c>
      <c r="E8">
        <f>('Value Compilation'!E8-'Value Compilation'!F8)/'Value Compilation'!F8</f>
        <v>0.484593837535014</v>
      </c>
      <c r="F8" t="e">
        <f>('Value Compilation'!F8-'Value Compilation'!G8)/'Value Compilation'!G8</f>
        <v>#N/A</v>
      </c>
      <c r="G8" t="e">
        <f>('Value Compilation'!G8-'Value Compilation'!H8)/'Value Compilation'!H8</f>
        <v>#N/A</v>
      </c>
      <c r="H8" t="e">
        <f>('Value Compilation'!H8-'Value Compilation'!I8)/'Value Compilation'!I8</f>
        <v>#N/A</v>
      </c>
      <c r="I8">
        <f>('Value Compilation'!I8-'Value Compilation'!J8)/'Value Compilation'!J8</f>
        <v>-0.12721893491124261</v>
      </c>
      <c r="J8">
        <f>('Value Compilation'!J8-'Value Compilation'!K8)/'Value Compilation'!K8</f>
        <v>0.04</v>
      </c>
      <c r="K8">
        <f>('Value Compilation'!K8-'Value Compilation'!L8)/'Value Compilation'!L8</f>
        <v>0.19926199261992619</v>
      </c>
      <c r="L8" t="s">
        <v>48</v>
      </c>
      <c r="N8" t="s">
        <v>298</v>
      </c>
    </row>
    <row r="9" spans="1:14">
      <c r="A9" t="s">
        <v>299</v>
      </c>
      <c r="B9">
        <f>('Value Compilation'!B9-'Value Compilation'!C9)/'Value Compilation'!C9</f>
        <v>0.2</v>
      </c>
      <c r="C9">
        <f>('Value Compilation'!C9-'Value Compilation'!D9)/'Value Compilation'!D9</f>
        <v>0.61290322580645162</v>
      </c>
      <c r="D9">
        <f>('Value Compilation'!D9-'Value Compilation'!E9)/'Value Compilation'!E9</f>
        <v>0.36443661971830987</v>
      </c>
      <c r="E9">
        <f>('Value Compilation'!E9-'Value Compilation'!F9)/'Value Compilation'!F9</f>
        <v>0.25386313465783666</v>
      </c>
      <c r="F9" t="e">
        <f>('Value Compilation'!F9-'Value Compilation'!G9)/'Value Compilation'!G9</f>
        <v>#N/A</v>
      </c>
      <c r="G9" t="e">
        <f>('Value Compilation'!G9-'Value Compilation'!H9)/'Value Compilation'!H9</f>
        <v>#N/A</v>
      </c>
      <c r="H9" t="e">
        <f>('Value Compilation'!H9-'Value Compilation'!I9)/'Value Compilation'!I9</f>
        <v>#N/A</v>
      </c>
      <c r="I9">
        <f>('Value Compilation'!I9-'Value Compilation'!J9)/'Value Compilation'!J9</f>
        <v>1.5151515151515152E-2</v>
      </c>
      <c r="J9" t="e">
        <f>('Value Compilation'!J9-'Value Compilation'!K9)/'Value Compilation'!K9</f>
        <v>#N/A</v>
      </c>
      <c r="K9" t="e">
        <f>('Value Compilation'!K9-'Value Compilation'!L9)/'Value Compilation'!L9</f>
        <v>#N/A</v>
      </c>
      <c r="L9" t="s">
        <v>48</v>
      </c>
    </row>
    <row r="10" spans="1:14">
      <c r="A10" t="s">
        <v>300</v>
      </c>
      <c r="B10">
        <f>('Value Compilation'!B10-'Value Compilation'!C10)/'Value Compilation'!C10</f>
        <v>0.21739130434782608</v>
      </c>
      <c r="C10">
        <f>('Value Compilation'!C10-'Value Compilation'!D10)/'Value Compilation'!D10</f>
        <v>0.50326797385620914</v>
      </c>
      <c r="D10">
        <f>('Value Compilation'!D10-'Value Compilation'!E10)/'Value Compilation'!E10</f>
        <v>0.11678832116788321</v>
      </c>
      <c r="E10">
        <f>('Value Compilation'!E10-'Value Compilation'!F10)/'Value Compilation'!F10</f>
        <v>0.3782696177062374</v>
      </c>
      <c r="F10" t="e">
        <f>('Value Compilation'!F10-'Value Compilation'!G10)/'Value Compilation'!G10</f>
        <v>#N/A</v>
      </c>
      <c r="G10" t="e">
        <f>('Value Compilation'!G10-'Value Compilation'!H10)/'Value Compilation'!H10</f>
        <v>#N/A</v>
      </c>
      <c r="H10" t="e">
        <f>('Value Compilation'!H10-'Value Compilation'!I10)/'Value Compilation'!I10</f>
        <v>#N/A</v>
      </c>
      <c r="I10">
        <f>('Value Compilation'!I10-'Value Compilation'!J10)/'Value Compilation'!J10</f>
        <v>1.0845986984815618E-2</v>
      </c>
      <c r="J10" t="e">
        <f>('Value Compilation'!J10-'Value Compilation'!K10)/'Value Compilation'!K10</f>
        <v>#N/A</v>
      </c>
      <c r="K10" t="e">
        <f>('Value Compilation'!K10-'Value Compilation'!L10)/'Value Compilation'!L10</f>
        <v>#N/A</v>
      </c>
      <c r="L10" t="s">
        <v>48</v>
      </c>
    </row>
    <row r="11" spans="1:14">
      <c r="A11" t="s">
        <v>301</v>
      </c>
      <c r="B11">
        <f>('Value Compilation'!B11-'Value Compilation'!C11)/'Value Compilation'!C11</f>
        <v>0.10638297872340426</v>
      </c>
      <c r="C11">
        <f>('Value Compilation'!C11-'Value Compilation'!D11)/'Value Compilation'!D11</f>
        <v>0.52597402597402598</v>
      </c>
      <c r="D11">
        <f>('Value Compilation'!D11-'Value Compilation'!E11)/'Value Compilation'!E11</f>
        <v>0.23200000000000001</v>
      </c>
      <c r="E11">
        <f>('Value Compilation'!E11-'Value Compilation'!F11)/'Value Compilation'!F11</f>
        <v>0.36761487964989059</v>
      </c>
      <c r="F11" t="e">
        <f>('Value Compilation'!F11-'Value Compilation'!G11)/'Value Compilation'!G11</f>
        <v>#N/A</v>
      </c>
      <c r="G11" t="e">
        <f>('Value Compilation'!G11-'Value Compilation'!H11)/'Value Compilation'!H11</f>
        <v>#N/A</v>
      </c>
      <c r="H11" t="e">
        <f>('Value Compilation'!H11-'Value Compilation'!I11)/'Value Compilation'!I11</f>
        <v>#N/A</v>
      </c>
      <c r="I11">
        <f>('Value Compilation'!I11-'Value Compilation'!J11)/'Value Compilation'!J11</f>
        <v>-5.9808612440191387E-2</v>
      </c>
      <c r="J11" t="e">
        <f>('Value Compilation'!J11-'Value Compilation'!K11)/'Value Compilation'!K11</f>
        <v>#N/A</v>
      </c>
      <c r="K11" t="e">
        <f>('Value Compilation'!K11-'Value Compilation'!L11)/'Value Compilation'!L11</f>
        <v>#N/A</v>
      </c>
      <c r="L11" t="s">
        <v>48</v>
      </c>
    </row>
    <row r="12" spans="1:14">
      <c r="A12" t="s">
        <v>302</v>
      </c>
      <c r="B12">
        <f>('Value Compilation'!B12-'Value Compilation'!C12)/'Value Compilation'!C12</f>
        <v>0.15</v>
      </c>
      <c r="C12">
        <f>('Value Compilation'!C12-'Value Compilation'!D12)/'Value Compilation'!D12</f>
        <v>0.51515151515151514</v>
      </c>
      <c r="D12">
        <f>('Value Compilation'!D12-'Value Compilation'!E12)/'Value Compilation'!E12</f>
        <v>0.25237191650853891</v>
      </c>
      <c r="E12">
        <f>('Value Compilation'!E12-'Value Compilation'!F12)/'Value Compilation'!F12</f>
        <v>0.26076555023923442</v>
      </c>
      <c r="F12" t="e">
        <f>('Value Compilation'!F12-'Value Compilation'!G12)/'Value Compilation'!G12</f>
        <v>#N/A</v>
      </c>
      <c r="G12" t="e">
        <f>('Value Compilation'!G12-'Value Compilation'!H12)/'Value Compilation'!H12</f>
        <v>#N/A</v>
      </c>
      <c r="H12" t="e">
        <f>('Value Compilation'!H12-'Value Compilation'!I12)/'Value Compilation'!I12</f>
        <v>#N/A</v>
      </c>
      <c r="I12">
        <f>('Value Compilation'!I12-'Value Compilation'!J12)/'Value Compilation'!J12</f>
        <v>2.4691358024691357E-2</v>
      </c>
      <c r="J12" t="e">
        <f>('Value Compilation'!J12-'Value Compilation'!K12)/'Value Compilation'!K12</f>
        <v>#N/A</v>
      </c>
      <c r="K12" t="e">
        <f>('Value Compilation'!K12-'Value Compilation'!L12)/'Value Compilation'!L12</f>
        <v>#N/A</v>
      </c>
      <c r="L12" t="s">
        <v>48</v>
      </c>
    </row>
    <row r="13" spans="1:14">
      <c r="A13" t="s">
        <v>303</v>
      </c>
      <c r="B13">
        <f>('Value Compilation'!B13-'Value Compilation'!C13)/'Value Compilation'!C13</f>
        <v>0.20218579234972678</v>
      </c>
      <c r="C13">
        <f>('Value Compilation'!C13-'Value Compilation'!D13)/'Value Compilation'!D13</f>
        <v>0.77669902912621358</v>
      </c>
      <c r="D13">
        <f>('Value Compilation'!D13-'Value Compilation'!E13)/'Value Compilation'!E13</f>
        <v>0.18663594470046083</v>
      </c>
      <c r="E13">
        <f>('Value Compilation'!E13-'Value Compilation'!F13)/'Value Compilation'!F13</f>
        <v>0.31914893617021278</v>
      </c>
      <c r="F13" t="e">
        <f>('Value Compilation'!F13-'Value Compilation'!G13)/'Value Compilation'!G13</f>
        <v>#N/A</v>
      </c>
      <c r="G13" t="e">
        <f>('Value Compilation'!G13-'Value Compilation'!H13)/'Value Compilation'!H13</f>
        <v>#N/A</v>
      </c>
      <c r="H13" t="e">
        <f>('Value Compilation'!H13-'Value Compilation'!I13)/'Value Compilation'!I13</f>
        <v>#N/A</v>
      </c>
      <c r="I13">
        <f>('Value Compilation'!I13-'Value Compilation'!J13)/'Value Compilation'!J13</f>
        <v>4.8351648351648353E-2</v>
      </c>
      <c r="J13" t="e">
        <f>('Value Compilation'!J13-'Value Compilation'!K13)/'Value Compilation'!K13</f>
        <v>#N/A</v>
      </c>
      <c r="K13" t="e">
        <f>('Value Compilation'!K13-'Value Compilation'!L13)/'Value Compilation'!L13</f>
        <v>#N/A</v>
      </c>
      <c r="L13" t="s">
        <v>48</v>
      </c>
    </row>
    <row r="14" spans="1:14">
      <c r="A14" t="s">
        <v>304</v>
      </c>
      <c r="B14">
        <f>('Value Compilation'!B14-'Value Compilation'!C14)/'Value Compilation'!C14</f>
        <v>9.8901098901098897E-2</v>
      </c>
      <c r="C14">
        <f>('Value Compilation'!C14-'Value Compilation'!D14)/'Value Compilation'!D14</f>
        <v>0.61061946902654862</v>
      </c>
      <c r="D14">
        <f>('Value Compilation'!D14-'Value Compilation'!E14)/'Value Compilation'!E14</f>
        <v>0.19198312236286919</v>
      </c>
      <c r="E14">
        <f>('Value Compilation'!E14-'Value Compilation'!F14)/'Value Compilation'!F14</f>
        <v>0.2</v>
      </c>
      <c r="F14" t="e">
        <f>('Value Compilation'!F14-'Value Compilation'!G14)/'Value Compilation'!G14</f>
        <v>#N/A</v>
      </c>
      <c r="G14" t="e">
        <f>('Value Compilation'!G14-'Value Compilation'!H14)/'Value Compilation'!H14</f>
        <v>#N/A</v>
      </c>
      <c r="H14" t="e">
        <f>('Value Compilation'!H14-'Value Compilation'!I14)/'Value Compilation'!I14</f>
        <v>#N/A</v>
      </c>
      <c r="I14">
        <f>('Value Compilation'!I14-'Value Compilation'!J14)/'Value Compilation'!J14</f>
        <v>6.6815144766146995E-3</v>
      </c>
      <c r="J14" t="e">
        <f>('Value Compilation'!J14-'Value Compilation'!K14)/'Value Compilation'!K14</f>
        <v>#N/A</v>
      </c>
      <c r="K14" t="e">
        <f>('Value Compilation'!K14-'Value Compilation'!L14)/'Value Compilation'!L14</f>
        <v>#N/A</v>
      </c>
      <c r="L14" t="s">
        <v>48</v>
      </c>
    </row>
    <row r="15" spans="1:14">
      <c r="A15" t="s">
        <v>305</v>
      </c>
      <c r="B15">
        <f>('Value Compilation'!B15-'Value Compilation'!C15)/'Value Compilation'!C15</f>
        <v>6.5217391304347824E-2</v>
      </c>
      <c r="C15">
        <f>('Value Compilation'!C15-'Value Compilation'!D15)/'Value Compilation'!D15</f>
        <v>0.76923076923076927</v>
      </c>
      <c r="D15">
        <f>('Value Compilation'!D15-'Value Compilation'!E15)/'Value Compilation'!E15</f>
        <v>0.2839506172839506</v>
      </c>
      <c r="E15">
        <f>('Value Compilation'!E15-'Value Compilation'!F15)/'Value Compilation'!F15</f>
        <v>6.0209424083769635E-2</v>
      </c>
      <c r="F15" t="e">
        <f>('Value Compilation'!F15-'Value Compilation'!G15)/'Value Compilation'!G15</f>
        <v>#N/A</v>
      </c>
      <c r="G15" t="e">
        <f>('Value Compilation'!G15-'Value Compilation'!H15)/'Value Compilation'!H15</f>
        <v>#N/A</v>
      </c>
      <c r="H15" t="e">
        <f>('Value Compilation'!H15-'Value Compilation'!I15)/'Value Compilation'!I15</f>
        <v>#N/A</v>
      </c>
      <c r="I15">
        <f>('Value Compilation'!I15-'Value Compilation'!J15)/'Value Compilation'!J15</f>
        <v>7.2386058981233251E-2</v>
      </c>
      <c r="J15">
        <f>('Value Compilation'!J15-'Value Compilation'!K15)/'Value Compilation'!K15</f>
        <v>0.18412698412698414</v>
      </c>
      <c r="K15">
        <f>('Value Compilation'!K15-'Value Compilation'!L15)/'Value Compilation'!L15</f>
        <v>0.13309352517985612</v>
      </c>
      <c r="L15" t="s">
        <v>48</v>
      </c>
    </row>
    <row r="16" spans="1:14">
      <c r="A16" t="s">
        <v>306</v>
      </c>
      <c r="B16">
        <f>('Value Compilation'!B16-'Value Compilation'!C16)/'Value Compilation'!C16</f>
        <v>3.7234042553191488E-2</v>
      </c>
      <c r="C16">
        <f>('Value Compilation'!C16-'Value Compilation'!D16)/'Value Compilation'!D16</f>
        <v>0.60136286201022149</v>
      </c>
      <c r="D16">
        <f>('Value Compilation'!D16-'Value Compilation'!E16)/'Value Compilation'!E16</f>
        <v>0.28446389496717722</v>
      </c>
      <c r="E16">
        <f>('Value Compilation'!E16-'Value Compilation'!F16)/'Value Compilation'!F16</f>
        <v>0.23513513513513515</v>
      </c>
      <c r="F16" t="e">
        <f>('Value Compilation'!F16-'Value Compilation'!G16)/'Value Compilation'!G16</f>
        <v>#N/A</v>
      </c>
      <c r="G16" t="e">
        <f>('Value Compilation'!G16-'Value Compilation'!H16)/'Value Compilation'!H16</f>
        <v>#N/A</v>
      </c>
      <c r="H16" t="e">
        <f>('Value Compilation'!H16-'Value Compilation'!I16)/'Value Compilation'!I16</f>
        <v>#N/A</v>
      </c>
      <c r="I16">
        <f>('Value Compilation'!I16-'Value Compilation'!J16)/'Value Compilation'!J16</f>
        <v>0.2134387351778656</v>
      </c>
      <c r="J16">
        <f>('Value Compilation'!J16-'Value Compilation'!K16)/'Value Compilation'!K16</f>
        <v>0.1</v>
      </c>
      <c r="K16">
        <f>('Value Compilation'!K16-'Value Compilation'!L16)/'Value Compilation'!L16</f>
        <v>1.3215859030837005E-2</v>
      </c>
      <c r="L16" t="s">
        <v>48</v>
      </c>
    </row>
    <row r="17" spans="1:14">
      <c r="A17" t="s">
        <v>307</v>
      </c>
      <c r="B17">
        <f>('Value Compilation'!B17-'Value Compilation'!C17)/'Value Compilation'!C17</f>
        <v>6.6666666666666666E-2</v>
      </c>
      <c r="C17">
        <f>('Value Compilation'!C17-'Value Compilation'!D17)/'Value Compilation'!D17</f>
        <v>0.85567010309278346</v>
      </c>
      <c r="D17">
        <f>('Value Compilation'!D17-'Value Compilation'!E17)/'Value Compilation'!E17</f>
        <v>0.22166246851385391</v>
      </c>
      <c r="E17">
        <f>('Value Compilation'!E17-'Value Compilation'!F17)/'Value Compilation'!F17</f>
        <v>0.21036585365853658</v>
      </c>
      <c r="F17" t="e">
        <f>('Value Compilation'!F17-'Value Compilation'!G17)/'Value Compilation'!G17</f>
        <v>#N/A</v>
      </c>
      <c r="G17" t="e">
        <f>('Value Compilation'!G17-'Value Compilation'!H17)/'Value Compilation'!H17</f>
        <v>#N/A</v>
      </c>
      <c r="H17" t="e">
        <f>('Value Compilation'!H17-'Value Compilation'!I17)/'Value Compilation'!I17</f>
        <v>#N/A</v>
      </c>
      <c r="I17">
        <f>('Value Compilation'!I17-'Value Compilation'!J17)/'Value Compilation'!J17</f>
        <v>1.4367816091954023E-2</v>
      </c>
      <c r="J17" t="e">
        <f>('Value Compilation'!J17-'Value Compilation'!K17)/'Value Compilation'!K17</f>
        <v>#N/A</v>
      </c>
      <c r="K17" t="e">
        <f>('Value Compilation'!K17-'Value Compilation'!L17)/'Value Compilation'!L17</f>
        <v>#N/A</v>
      </c>
      <c r="L17" t="s">
        <v>48</v>
      </c>
    </row>
    <row r="18" spans="1:14">
      <c r="A18" t="s">
        <v>77</v>
      </c>
      <c r="B18">
        <f>('Value Compilation'!B18-'Value Compilation'!C18)/'Value Compilation'!C18</f>
        <v>2.1505376344086023E-2</v>
      </c>
      <c r="C18">
        <f>('Value Compilation'!C18-'Value Compilation'!D18)/'Value Compilation'!D18</f>
        <v>0.57627118644067798</v>
      </c>
      <c r="D18">
        <f>('Value Compilation'!D18-'Value Compilation'!E18)/'Value Compilation'!E18</f>
        <v>0.24210526315789474</v>
      </c>
      <c r="E18">
        <f>('Value Compilation'!E18-'Value Compilation'!F18)/'Value Compilation'!F18</f>
        <v>0.36494252873563221</v>
      </c>
      <c r="F18" t="e">
        <f>('Value Compilation'!F18-'Value Compilation'!G18)/'Value Compilation'!G18</f>
        <v>#N/A</v>
      </c>
      <c r="G18" t="e">
        <f>('Value Compilation'!G18-'Value Compilation'!H18)/'Value Compilation'!H18</f>
        <v>#N/A</v>
      </c>
      <c r="H18" t="e">
        <f>('Value Compilation'!H18-'Value Compilation'!I18)/'Value Compilation'!I18</f>
        <v>#N/A</v>
      </c>
      <c r="I18" t="e">
        <f>('Value Compilation'!I18-'Value Compilation'!J18)/'Value Compilation'!J18</f>
        <v>#N/A</v>
      </c>
      <c r="J18" t="e">
        <f>('Value Compilation'!J18-'Value Compilation'!K18)/'Value Compilation'!K18</f>
        <v>#N/A</v>
      </c>
      <c r="K18" t="e">
        <f>('Value Compilation'!K18-'Value Compilation'!L18)/'Value Compilation'!L18</f>
        <v>#N/A</v>
      </c>
      <c r="L18" t="s">
        <v>48</v>
      </c>
    </row>
    <row r="19" spans="1:14">
      <c r="A19" t="s">
        <v>308</v>
      </c>
      <c r="B19">
        <f>('Value Compilation'!B19-'Value Compilation'!C19)/'Value Compilation'!C19</f>
        <v>0.15625</v>
      </c>
      <c r="C19">
        <f>('Value Compilation'!C19-'Value Compilation'!D19)/'Value Compilation'!D19</f>
        <v>0.45454545454545453</v>
      </c>
      <c r="D19">
        <f>('Value Compilation'!D19-'Value Compilation'!E19)/'Value Compilation'!E19</f>
        <v>4.7619047619047616E-2</v>
      </c>
      <c r="E19">
        <f>('Value Compilation'!E19-'Value Compilation'!F19)/'Value Compilation'!F19</f>
        <v>0.75</v>
      </c>
      <c r="F19" t="e">
        <f>('Value Compilation'!F19-'Value Compilation'!G19)/'Value Compilation'!G19</f>
        <v>#N/A</v>
      </c>
      <c r="G19" t="e">
        <f>('Value Compilation'!G19-'Value Compilation'!H19)/'Value Compilation'!H19</f>
        <v>#N/A</v>
      </c>
      <c r="H19" t="e">
        <f>('Value Compilation'!H19-'Value Compilation'!I19)/'Value Compilation'!I19</f>
        <v>#N/A</v>
      </c>
      <c r="I19">
        <f>('Value Compilation'!I19-'Value Compilation'!J19)/'Value Compilation'!J19</f>
        <v>-9.0909090909090912E-2</v>
      </c>
      <c r="J19" t="e">
        <f>('Value Compilation'!J19-'Value Compilation'!K19)/'Value Compilation'!K19</f>
        <v>#N/A</v>
      </c>
      <c r="K19" t="e">
        <f>('Value Compilation'!K19-'Value Compilation'!L19)/'Value Compilation'!L19</f>
        <v>#N/A</v>
      </c>
      <c r="L19" t="s">
        <v>48</v>
      </c>
    </row>
    <row r="20" spans="1:14">
      <c r="A20" t="s">
        <v>309</v>
      </c>
      <c r="B20">
        <f>('Value Compilation'!B20-'Value Compilation'!C20)/'Value Compilation'!C20</f>
        <v>2.8571428571428571E-2</v>
      </c>
      <c r="C20">
        <f>('Value Compilation'!C20-'Value Compilation'!D20)/'Value Compilation'!D20</f>
        <v>0.5625</v>
      </c>
      <c r="D20">
        <f>('Value Compilation'!D20-'Value Compilation'!E20)/'Value Compilation'!E20</f>
        <v>0.19148936170212766</v>
      </c>
      <c r="E20">
        <f>('Value Compilation'!E20-'Value Compilation'!F20)/'Value Compilation'!F20</f>
        <v>0.22077922077922077</v>
      </c>
      <c r="F20" t="e">
        <f>('Value Compilation'!F20-'Value Compilation'!G20)/'Value Compilation'!G20</f>
        <v>#N/A</v>
      </c>
      <c r="G20" t="e">
        <f>('Value Compilation'!G20-'Value Compilation'!H20)/'Value Compilation'!H20</f>
        <v>#N/A</v>
      </c>
      <c r="H20" t="e">
        <f>('Value Compilation'!H20-'Value Compilation'!I20)/'Value Compilation'!I20</f>
        <v>#N/A</v>
      </c>
      <c r="I20">
        <f>('Value Compilation'!I20-'Value Compilation'!J20)/'Value Compilation'!J20</f>
        <v>8.3850931677018639E-2</v>
      </c>
      <c r="J20">
        <f>('Value Compilation'!J20-'Value Compilation'!K20)/'Value Compilation'!K20</f>
        <v>0.13780918727915195</v>
      </c>
      <c r="K20">
        <f>('Value Compilation'!K20-'Value Compilation'!L20)/'Value Compilation'!L20</f>
        <v>0.145748987854251</v>
      </c>
      <c r="L20" t="s">
        <v>48</v>
      </c>
    </row>
    <row r="21" spans="1:14">
      <c r="A21" t="s">
        <v>310</v>
      </c>
      <c r="B21">
        <f>('Value Compilation'!B21-'Value Compilation'!C21)/'Value Compilation'!C21</f>
        <v>2.9411764705882353E-2</v>
      </c>
      <c r="C21">
        <f>('Value Compilation'!C21-'Value Compilation'!D21)/'Value Compilation'!D21</f>
        <v>0.61904761904761907</v>
      </c>
      <c r="D21">
        <f>('Value Compilation'!D21-'Value Compilation'!E21)/'Value Compilation'!E21</f>
        <v>0.21527777777777779</v>
      </c>
      <c r="E21">
        <f>('Value Compilation'!E21-'Value Compilation'!F21)/'Value Compilation'!F21</f>
        <v>0.28955223880597014</v>
      </c>
      <c r="F21" t="e">
        <f>('Value Compilation'!F21-'Value Compilation'!G21)/'Value Compilation'!G21</f>
        <v>#N/A</v>
      </c>
      <c r="G21" t="e">
        <f>('Value Compilation'!G21-'Value Compilation'!H21)/'Value Compilation'!H21</f>
        <v>#N/A</v>
      </c>
      <c r="H21" t="e">
        <f>('Value Compilation'!H21-'Value Compilation'!I21)/'Value Compilation'!I21</f>
        <v>#N/A</v>
      </c>
      <c r="I21">
        <f>('Value Compilation'!I21-'Value Compilation'!J21)/'Value Compilation'!J21</f>
        <v>4.6783625730994149E-2</v>
      </c>
      <c r="J21">
        <f>('Value Compilation'!J21-'Value Compilation'!K21)/'Value Compilation'!K21</f>
        <v>0.15151515151515152</v>
      </c>
      <c r="K21">
        <f>('Value Compilation'!K21-'Value Compilation'!L21)/'Value Compilation'!L21</f>
        <v>8.3941605839416053E-2</v>
      </c>
      <c r="L21" t="s">
        <v>48</v>
      </c>
    </row>
    <row r="22" spans="1:14">
      <c r="A22" t="s">
        <v>311</v>
      </c>
      <c r="B22">
        <f>('Value Compilation'!B22-'Value Compilation'!C22)/'Value Compilation'!C22</f>
        <v>0</v>
      </c>
      <c r="C22">
        <f>('Value Compilation'!C22-'Value Compilation'!D22)/'Value Compilation'!D22</f>
        <v>0.72727272727272729</v>
      </c>
      <c r="D22">
        <f>('Value Compilation'!D22-'Value Compilation'!E22)/'Value Compilation'!E22</f>
        <v>0.15925058548009369</v>
      </c>
      <c r="E22">
        <f>('Value Compilation'!E22-'Value Compilation'!F22)/'Value Compilation'!F22</f>
        <v>0.35126582278481011</v>
      </c>
      <c r="F22" t="e">
        <f>('Value Compilation'!F22-'Value Compilation'!G22)/'Value Compilation'!G22</f>
        <v>#N/A</v>
      </c>
      <c r="G22" t="e">
        <f>('Value Compilation'!G22-'Value Compilation'!H22)/'Value Compilation'!H22</f>
        <v>#N/A</v>
      </c>
      <c r="H22" t="e">
        <f>('Value Compilation'!H22-'Value Compilation'!I22)/'Value Compilation'!I22</f>
        <v>#N/A</v>
      </c>
      <c r="I22">
        <f>('Value Compilation'!I22-'Value Compilation'!J22)/'Value Compilation'!J22</f>
        <v>2.4922118380062305E-2</v>
      </c>
      <c r="J22" t="e">
        <f>('Value Compilation'!J22-'Value Compilation'!K22)/'Value Compilation'!K22</f>
        <v>#N/A</v>
      </c>
      <c r="K22" t="e">
        <f>('Value Compilation'!K22-'Value Compilation'!L22)/'Value Compilation'!L22</f>
        <v>#N/A</v>
      </c>
      <c r="L22" t="s">
        <v>48</v>
      </c>
    </row>
    <row r="23" spans="1:14">
      <c r="A23" t="s">
        <v>312</v>
      </c>
      <c r="B23">
        <f>('Value Compilation'!B23-'Value Compilation'!C23)/'Value Compilation'!C23</f>
        <v>4.9382716049382713E-2</v>
      </c>
      <c r="C23">
        <f>('Value Compilation'!C23-'Value Compilation'!D23)/'Value Compilation'!D23</f>
        <v>0.8</v>
      </c>
      <c r="D23">
        <f>('Value Compilation'!D23-'Value Compilation'!E23)/'Value Compilation'!E23</f>
        <v>0.125</v>
      </c>
      <c r="E23">
        <f>('Value Compilation'!E23-'Value Compilation'!F23)/'Value Compilation'!F23</f>
        <v>0.20481927710843373</v>
      </c>
      <c r="F23" t="e">
        <f>('Value Compilation'!F23-'Value Compilation'!G23)/'Value Compilation'!G23</f>
        <v>#N/A</v>
      </c>
      <c r="G23" t="e">
        <f>('Value Compilation'!G23-'Value Compilation'!H23)/'Value Compilation'!H23</f>
        <v>#N/A</v>
      </c>
      <c r="H23" t="e">
        <f>('Value Compilation'!H23-'Value Compilation'!I23)/'Value Compilation'!I23</f>
        <v>#N/A</v>
      </c>
      <c r="I23">
        <f>('Value Compilation'!I23-'Value Compilation'!J23)/'Value Compilation'!J23</f>
        <v>6.2893081761006293E-3</v>
      </c>
      <c r="J23" t="e">
        <f>('Value Compilation'!J23-'Value Compilation'!K23)/'Value Compilation'!K23</f>
        <v>#N/A</v>
      </c>
      <c r="K23" t="e">
        <f>('Value Compilation'!K23-'Value Compilation'!L23)/'Value Compilation'!L23</f>
        <v>#N/A</v>
      </c>
      <c r="L23" t="s">
        <v>48</v>
      </c>
    </row>
    <row r="24" spans="1:14">
      <c r="A24" t="s">
        <v>313</v>
      </c>
      <c r="B24">
        <f>('Value Compilation'!B24-'Value Compilation'!C24)/'Value Compilation'!C24</f>
        <v>1.2048192771084338E-2</v>
      </c>
      <c r="C24">
        <f>('Value Compilation'!C24-'Value Compilation'!D24)/'Value Compilation'!D24</f>
        <v>0.74736842105263157</v>
      </c>
      <c r="D24">
        <f>('Value Compilation'!D24-'Value Compilation'!E24)/'Value Compilation'!E24</f>
        <v>0.24020887728459531</v>
      </c>
      <c r="E24">
        <f>('Value Compilation'!E24-'Value Compilation'!F24)/'Value Compilation'!F24</f>
        <v>0.35335689045936397</v>
      </c>
      <c r="F24" t="e">
        <f>('Value Compilation'!F24-'Value Compilation'!G24)/'Value Compilation'!G24</f>
        <v>#N/A</v>
      </c>
      <c r="G24" t="e">
        <f>('Value Compilation'!G24-'Value Compilation'!H24)/'Value Compilation'!H24</f>
        <v>#N/A</v>
      </c>
      <c r="H24" t="e">
        <f>('Value Compilation'!H24-'Value Compilation'!I24)/'Value Compilation'!I24</f>
        <v>#N/A</v>
      </c>
      <c r="I24">
        <f>('Value Compilation'!I24-'Value Compilation'!J24)/'Value Compilation'!J24</f>
        <v>-9.0090090090090086E-2</v>
      </c>
      <c r="J24" t="e">
        <f>('Value Compilation'!J24-'Value Compilation'!K24)/'Value Compilation'!K24</f>
        <v>#N/A</v>
      </c>
      <c r="K24" t="e">
        <f>('Value Compilation'!K24-'Value Compilation'!L24)/'Value Compilation'!L24</f>
        <v>#N/A</v>
      </c>
      <c r="L24" t="s">
        <v>48</v>
      </c>
    </row>
    <row r="25" spans="1:14">
      <c r="A25" t="s">
        <v>314</v>
      </c>
      <c r="B25">
        <f>('Value Compilation'!B25-'Value Compilation'!C25)/'Value Compilation'!C25</f>
        <v>0</v>
      </c>
      <c r="C25">
        <f>('Value Compilation'!C25-'Value Compilation'!D25)/'Value Compilation'!D25</f>
        <v>0.94117647058823528</v>
      </c>
      <c r="D25">
        <f>('Value Compilation'!D25-'Value Compilation'!E25)/'Value Compilation'!E25</f>
        <v>0.3449367088607595</v>
      </c>
      <c r="E25">
        <f>('Value Compilation'!E25-'Value Compilation'!F25)/'Value Compilation'!F25</f>
        <v>0.17037037037037037</v>
      </c>
      <c r="F25" t="e">
        <f>('Value Compilation'!F25-'Value Compilation'!G25)/'Value Compilation'!G25</f>
        <v>#N/A</v>
      </c>
      <c r="G25" t="e">
        <f>('Value Compilation'!G25-'Value Compilation'!H25)/'Value Compilation'!H25</f>
        <v>#N/A</v>
      </c>
      <c r="H25" t="e">
        <f>('Value Compilation'!H25-'Value Compilation'!I25)/'Value Compilation'!I25</f>
        <v>#N/A</v>
      </c>
      <c r="I25">
        <f>('Value Compilation'!I25-'Value Compilation'!J25)/'Value Compilation'!J25</f>
        <v>6.9930069930069935E-2</v>
      </c>
      <c r="J25">
        <f>('Value Compilation'!J25-'Value Compilation'!K25)/'Value Compilation'!K25</f>
        <v>0.04</v>
      </c>
      <c r="K25">
        <f>('Value Compilation'!K25-'Value Compilation'!L25)/'Value Compilation'!L25</f>
        <v>4.9618320610687022E-2</v>
      </c>
      <c r="L25" t="s">
        <v>48</v>
      </c>
    </row>
    <row r="26" spans="1:14">
      <c r="A26" t="s">
        <v>315</v>
      </c>
      <c r="B26">
        <f>('Value Compilation'!B26-'Value Compilation'!C26)/'Value Compilation'!C26</f>
        <v>0.04</v>
      </c>
      <c r="C26">
        <f>('Value Compilation'!C26-'Value Compilation'!D26)/'Value Compilation'!D26</f>
        <v>0.6556291390728477</v>
      </c>
      <c r="D26">
        <f>('Value Compilation'!D26-'Value Compilation'!E26)/'Value Compilation'!E26</f>
        <v>0.20159151193633953</v>
      </c>
      <c r="E26">
        <f>('Value Compilation'!E26-'Value Compilation'!F26)/'Value Compilation'!F26</f>
        <v>0.40148698884758366</v>
      </c>
      <c r="F26" t="e">
        <f>('Value Compilation'!F26-'Value Compilation'!G26)/'Value Compilation'!G26</f>
        <v>#N/A</v>
      </c>
      <c r="G26" t="e">
        <f>('Value Compilation'!G26-'Value Compilation'!H26)/'Value Compilation'!H26</f>
        <v>#N/A</v>
      </c>
      <c r="H26" t="e">
        <f>('Value Compilation'!H26-'Value Compilation'!I26)/'Value Compilation'!I26</f>
        <v>#N/A</v>
      </c>
      <c r="I26">
        <f>('Value Compilation'!I26-'Value Compilation'!J26)/'Value Compilation'!J26</f>
        <v>-3.2894736842105261E-2</v>
      </c>
      <c r="J26" t="e">
        <f>('Value Compilation'!J26-'Value Compilation'!K26)/'Value Compilation'!K26</f>
        <v>#N/A</v>
      </c>
      <c r="K26" t="e">
        <f>('Value Compilation'!K26-'Value Compilation'!L26)/'Value Compilation'!L26</f>
        <v>#N/A</v>
      </c>
      <c r="L26" t="s">
        <v>48</v>
      </c>
    </row>
    <row r="27" spans="1:14">
      <c r="A27" t="s">
        <v>316</v>
      </c>
      <c r="B27">
        <f>('Value Compilation'!B27-'Value Compilation'!C27)/'Value Compilation'!C27</f>
        <v>3.4482758620689655E-2</v>
      </c>
      <c r="C27">
        <f>('Value Compilation'!C27-'Value Compilation'!D27)/'Value Compilation'!D27</f>
        <v>0.76829268292682928</v>
      </c>
      <c r="D27">
        <f>('Value Compilation'!D27-'Value Compilation'!E27)/'Value Compilation'!E27</f>
        <v>0.30158730158730157</v>
      </c>
      <c r="E27">
        <f>('Value Compilation'!E27-'Value Compilation'!F27)/'Value Compilation'!F27</f>
        <v>0.13718411552346571</v>
      </c>
      <c r="F27" t="e">
        <f>('Value Compilation'!F27-'Value Compilation'!G27)/'Value Compilation'!G27</f>
        <v>#N/A</v>
      </c>
      <c r="G27" t="e">
        <f>('Value Compilation'!G27-'Value Compilation'!H27)/'Value Compilation'!H27</f>
        <v>#N/A</v>
      </c>
      <c r="H27" t="e">
        <f>('Value Compilation'!H27-'Value Compilation'!I27)/'Value Compilation'!I27</f>
        <v>#N/A</v>
      </c>
      <c r="I27">
        <f>('Value Compilation'!I27-'Value Compilation'!J27)/'Value Compilation'!J27</f>
        <v>-1.0452961672473868E-2</v>
      </c>
      <c r="J27" t="e">
        <f>('Value Compilation'!J27-'Value Compilation'!K27)/'Value Compilation'!K27</f>
        <v>#N/A</v>
      </c>
      <c r="K27" t="e">
        <f>('Value Compilation'!K27-'Value Compilation'!L27)/'Value Compilation'!L27</f>
        <v>#N/A</v>
      </c>
      <c r="L27" t="s">
        <v>48</v>
      </c>
      <c r="N27" t="s">
        <v>317</v>
      </c>
    </row>
    <row r="28" spans="1:14">
      <c r="A28" t="s">
        <v>318</v>
      </c>
      <c r="B28">
        <f>('Value Compilation'!B28-'Value Compilation'!C28)/'Value Compilation'!C28</f>
        <v>0.152</v>
      </c>
      <c r="C28">
        <f>('Value Compilation'!C28-'Value Compilation'!D28)/'Value Compilation'!D28</f>
        <v>0.45348837209302323</v>
      </c>
      <c r="D28">
        <f>('Value Compilation'!D28-'Value Compilation'!E28)/'Value Compilation'!E28</f>
        <v>0.18131868131868131</v>
      </c>
      <c r="E28">
        <f>('Value Compilation'!E28-'Value Compilation'!F28)/'Value Compilation'!F28</f>
        <v>0.33823529411764708</v>
      </c>
      <c r="F28" t="e">
        <f>('Value Compilation'!F28-'Value Compilation'!G28)/'Value Compilation'!G28</f>
        <v>#N/A</v>
      </c>
      <c r="G28" t="e">
        <f>('Value Compilation'!G28-'Value Compilation'!H28)/'Value Compilation'!H28</f>
        <v>#N/A</v>
      </c>
      <c r="H28" t="e">
        <f>('Value Compilation'!H28-'Value Compilation'!I28)/'Value Compilation'!I28</f>
        <v>#N/A</v>
      </c>
      <c r="I28">
        <f>('Value Compilation'!I28-'Value Compilation'!J28)/'Value Compilation'!J28</f>
        <v>-2.2727272727272728E-2</v>
      </c>
      <c r="J28" t="e">
        <f>('Value Compilation'!J28-'Value Compilation'!K28)/'Value Compilation'!K28</f>
        <v>#N/A</v>
      </c>
      <c r="K28" t="e">
        <f>('Value Compilation'!K28-'Value Compilation'!L28)/'Value Compilation'!L28</f>
        <v>#N/A</v>
      </c>
      <c r="L28" t="s">
        <v>48</v>
      </c>
    </row>
    <row r="29" spans="1:14">
      <c r="A29" t="s">
        <v>319</v>
      </c>
      <c r="B29">
        <f>('Value Compilation'!B29-'Value Compilation'!C29)/'Value Compilation'!C29</f>
        <v>0</v>
      </c>
      <c r="C29">
        <f>('Value Compilation'!C29-'Value Compilation'!D29)/'Value Compilation'!D29</f>
        <v>0.4925373134328358</v>
      </c>
      <c r="D29">
        <f>('Value Compilation'!D29-'Value Compilation'!E29)/'Value Compilation'!E29</f>
        <v>0.12200956937799043</v>
      </c>
      <c r="E29">
        <f>('Value Compilation'!E29-'Value Compilation'!F29)/'Value Compilation'!F29</f>
        <v>0.33121019108280253</v>
      </c>
      <c r="F29" t="e">
        <f>('Value Compilation'!F29-'Value Compilation'!G29)/'Value Compilation'!G29</f>
        <v>#N/A</v>
      </c>
      <c r="G29" t="e">
        <f>('Value Compilation'!G29-'Value Compilation'!H29)/'Value Compilation'!H29</f>
        <v>#N/A</v>
      </c>
      <c r="H29" t="e">
        <f>('Value Compilation'!H29-'Value Compilation'!I29)/'Value Compilation'!I29</f>
        <v>#N/A</v>
      </c>
      <c r="I29">
        <f>('Value Compilation'!I29-'Value Compilation'!J29)/'Value Compilation'!J29</f>
        <v>-5.2631578947368418E-2</v>
      </c>
      <c r="J29" t="e">
        <f>('Value Compilation'!J29-'Value Compilation'!K29)/'Value Compilation'!K29</f>
        <v>#N/A</v>
      </c>
      <c r="K29" t="e">
        <f>('Value Compilation'!K29-'Value Compilation'!L29)/'Value Compilation'!L29</f>
        <v>#N/A</v>
      </c>
      <c r="L29" t="s">
        <v>48</v>
      </c>
    </row>
    <row r="30" spans="1:14">
      <c r="A30" t="s">
        <v>320</v>
      </c>
      <c r="B30">
        <f>('Value Compilation'!B30-'Value Compilation'!C30)/'Value Compilation'!C30</f>
        <v>0.125</v>
      </c>
      <c r="C30">
        <f>('Value Compilation'!C30-'Value Compilation'!D30)/'Value Compilation'!D30</f>
        <v>0.48148148148148145</v>
      </c>
      <c r="D30">
        <f>('Value Compilation'!D30-'Value Compilation'!E30)/'Value Compilation'!E30</f>
        <v>0.29807692307692307</v>
      </c>
      <c r="E30">
        <f>('Value Compilation'!E30-'Value Compilation'!F30)/'Value Compilation'!F30</f>
        <v>0.16417910447761194</v>
      </c>
      <c r="F30" t="e">
        <f>('Value Compilation'!F30-'Value Compilation'!G30)/'Value Compilation'!G30</f>
        <v>#N/A</v>
      </c>
      <c r="G30" t="e">
        <f>('Value Compilation'!G30-'Value Compilation'!H30)/'Value Compilation'!H30</f>
        <v>#N/A</v>
      </c>
      <c r="H30" t="e">
        <f>('Value Compilation'!H30-'Value Compilation'!I30)/'Value Compilation'!I30</f>
        <v>#N/A</v>
      </c>
      <c r="I30">
        <f>('Value Compilation'!I30-'Value Compilation'!J30)/'Value Compilation'!J30</f>
        <v>5.3030303030303032E-2</v>
      </c>
      <c r="J30" t="e">
        <f>('Value Compilation'!J30-'Value Compilation'!K30)/'Value Compilation'!K30</f>
        <v>#N/A</v>
      </c>
      <c r="K30" t="e">
        <f>('Value Compilation'!K30-'Value Compilation'!L30)/'Value Compilation'!L30</f>
        <v>#N/A</v>
      </c>
      <c r="L30" t="s">
        <v>48</v>
      </c>
    </row>
    <row r="31" spans="1:14">
      <c r="A31" t="s">
        <v>321</v>
      </c>
      <c r="B31">
        <f>('Value Compilation'!B31-'Value Compilation'!C31)/'Value Compilation'!C31</f>
        <v>0</v>
      </c>
      <c r="C31">
        <f>('Value Compilation'!C31-'Value Compilation'!D31)/'Value Compilation'!D31</f>
        <v>0.54761904761904767</v>
      </c>
      <c r="D31" t="e">
        <f>('Value Compilation'!D31-'Value Compilation'!E31)/'Value Compilation'!E31</f>
        <v>#VALUE!</v>
      </c>
      <c r="E31" t="e">
        <f>('Value Compilation'!E31-'Value Compilation'!F31)/'Value Compilation'!F31</f>
        <v>#VALUE!</v>
      </c>
      <c r="F31" t="e">
        <f>('Value Compilation'!F31-'Value Compilation'!G31)/'Value Compilation'!G31</f>
        <v>#VALUE!</v>
      </c>
      <c r="G31" t="e">
        <f>('Value Compilation'!G31-'Value Compilation'!H31)/'Value Compilation'!H31</f>
        <v>#VALUE!</v>
      </c>
      <c r="H31" t="e">
        <f>('Value Compilation'!H31-'Value Compilation'!I31)/'Value Compilation'!I31</f>
        <v>#VALUE!</v>
      </c>
      <c r="I31" t="e">
        <f>('Value Compilation'!I31-'Value Compilation'!J31)/'Value Compilation'!J31</f>
        <v>#VALUE!</v>
      </c>
      <c r="J31" t="e">
        <f>('Value Compilation'!J31-'Value Compilation'!K31)/'Value Compilation'!K31</f>
        <v>#VALUE!</v>
      </c>
      <c r="K31" t="e">
        <f>('Value Compilation'!K31-'Value Compilation'!L31)/'Value Compilation'!L31</f>
        <v>#VALUE!</v>
      </c>
      <c r="L31" t="s">
        <v>48</v>
      </c>
    </row>
    <row r="32" spans="1:14">
      <c r="A32" t="s">
        <v>322</v>
      </c>
      <c r="B32" t="e">
        <f>('Value Compilation'!B32-'Value Compilation'!C32)/'Value Compilation'!C32</f>
        <v>#VALUE!</v>
      </c>
      <c r="C32" t="e">
        <f>('Value Compilation'!C32-'Value Compilation'!D32)/'Value Compilation'!D32</f>
        <v>#VALUE!</v>
      </c>
      <c r="D32" t="e">
        <f>('Value Compilation'!D32-'Value Compilation'!E32)/'Value Compilation'!E32</f>
        <v>#VALUE!</v>
      </c>
      <c r="E32">
        <f>('Value Compilation'!E32-'Value Compilation'!F32)/'Value Compilation'!F32</f>
        <v>0.19298245614035087</v>
      </c>
      <c r="F32" t="e">
        <f>('Value Compilation'!F32-'Value Compilation'!G32)/'Value Compilation'!G32</f>
        <v>#N/A</v>
      </c>
      <c r="G32" t="e">
        <f>('Value Compilation'!G32-'Value Compilation'!H32)/'Value Compilation'!H32</f>
        <v>#N/A</v>
      </c>
      <c r="H32" t="e">
        <f>('Value Compilation'!H32-'Value Compilation'!I32)/'Value Compilation'!I32</f>
        <v>#N/A</v>
      </c>
      <c r="I32">
        <f>('Value Compilation'!I32-'Value Compilation'!J32)/'Value Compilation'!J32</f>
        <v>4.779411764705882E-2</v>
      </c>
      <c r="J32" t="e">
        <f>('Value Compilation'!J32-'Value Compilation'!K32)/'Value Compilation'!K32</f>
        <v>#N/A</v>
      </c>
      <c r="K32" t="e">
        <f>('Value Compilation'!K32-'Value Compilation'!L32)/'Value Compilation'!L32</f>
        <v>#N/A</v>
      </c>
      <c r="L32" t="s">
        <v>48</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workbookViewId="0"/>
  </sheetViews>
  <sheetFormatPr defaultColWidth="11.19921875" defaultRowHeight="15.6"/>
  <cols>
    <col min="1" max="1" width="4.19921875" customWidth="1"/>
    <col min="2" max="2" width="4.296875" customWidth="1"/>
    <col min="3" max="3" width="4.5" customWidth="1"/>
    <col min="4" max="4" width="4" customWidth="1"/>
    <col min="5" max="5" width="4.5" customWidth="1"/>
    <col min="6" max="6" width="26.796875" customWidth="1"/>
    <col min="7" max="9" width="15.19921875" bestFit="1" customWidth="1"/>
    <col min="10" max="10" width="15.69921875" bestFit="1" customWidth="1"/>
  </cols>
  <sheetData>
    <row r="1" spans="2:8">
      <c r="B1" s="94" t="s">
        <v>293</v>
      </c>
      <c r="C1" s="94"/>
      <c r="D1" s="94"/>
      <c r="E1" s="94"/>
      <c r="F1" s="94"/>
      <c r="G1" s="94"/>
      <c r="H1" s="94"/>
    </row>
    <row r="2" spans="2:8">
      <c r="B2" s="94" t="s">
        <v>707</v>
      </c>
      <c r="C2" s="94"/>
      <c r="D2" s="94"/>
      <c r="E2" s="94"/>
      <c r="F2" s="94"/>
      <c r="G2" s="94"/>
      <c r="H2" s="94"/>
    </row>
    <row r="3" spans="2:8">
      <c r="B3" s="95" t="s">
        <v>739</v>
      </c>
      <c r="C3" s="94"/>
      <c r="D3" s="94"/>
      <c r="E3" s="94"/>
      <c r="F3" s="94"/>
      <c r="G3" s="94"/>
      <c r="H3" s="94"/>
    </row>
    <row r="5" spans="2:8">
      <c r="B5" s="37"/>
      <c r="C5" s="37"/>
      <c r="D5" s="37"/>
      <c r="E5" s="37"/>
      <c r="F5" s="37"/>
      <c r="G5" s="136">
        <v>2018</v>
      </c>
      <c r="H5" s="136">
        <v>2017</v>
      </c>
    </row>
    <row r="6" spans="2:8">
      <c r="B6" t="s">
        <v>708</v>
      </c>
    </row>
    <row r="7" spans="2:8">
      <c r="C7" t="s">
        <v>734</v>
      </c>
      <c r="G7" s="36"/>
      <c r="H7" s="36"/>
    </row>
    <row r="8" spans="2:8">
      <c r="D8" t="s">
        <v>709</v>
      </c>
      <c r="G8" s="36">
        <f>'Attendance Financials'!D7</f>
        <v>4096905.5199350747</v>
      </c>
      <c r="H8" s="36">
        <f>'Attendance Financials'!C7</f>
        <v>3003917.3401101176</v>
      </c>
    </row>
    <row r="9" spans="2:8">
      <c r="D9" t="s">
        <v>710</v>
      </c>
      <c r="G9" s="36">
        <f>Playoff!C28</f>
        <v>11536599.262304032</v>
      </c>
      <c r="H9" s="36">
        <f>Playoff!D28</f>
        <v>11145654.520433625</v>
      </c>
    </row>
    <row r="10" spans="2:8">
      <c r="G10" s="36"/>
      <c r="H10" s="36"/>
    </row>
    <row r="11" spans="2:8">
      <c r="C11" t="s">
        <v>886</v>
      </c>
      <c r="G11" s="36"/>
      <c r="H11" s="36"/>
    </row>
    <row r="12" spans="2:8">
      <c r="D12" t="s">
        <v>885</v>
      </c>
      <c r="G12" s="36">
        <f>'TV Deal'!C15</f>
        <v>1196866.1734947022</v>
      </c>
      <c r="H12" s="36">
        <f>'TV Deal'!C14</f>
        <v>865169.96581119939</v>
      </c>
    </row>
    <row r="13" spans="2:8">
      <c r="G13" s="36"/>
      <c r="H13" s="36"/>
    </row>
    <row r="14" spans="2:8">
      <c r="C14" t="s">
        <v>735</v>
      </c>
      <c r="G14" s="36"/>
      <c r="H14" s="36"/>
    </row>
    <row r="15" spans="2:8">
      <c r="D15" t="s">
        <v>736</v>
      </c>
      <c r="G15" s="36" t="s">
        <v>48</v>
      </c>
      <c r="H15" s="36" t="s">
        <v>48</v>
      </c>
    </row>
    <row r="16" spans="2:8">
      <c r="G16" s="36"/>
      <c r="H16" s="36"/>
    </row>
    <row r="17" spans="2:10">
      <c r="C17" t="s">
        <v>797</v>
      </c>
      <c r="G17" s="36"/>
      <c r="H17" s="36"/>
    </row>
    <row r="18" spans="2:10">
      <c r="D18" t="s">
        <v>1125</v>
      </c>
      <c r="G18" s="36">
        <f>Sponsorships!C15</f>
        <v>1905305.0185022485</v>
      </c>
      <c r="H18" s="36">
        <f>Sponsorships!C14</f>
        <v>1807380.1889320919</v>
      </c>
    </row>
    <row r="19" spans="2:10">
      <c r="G19" s="36"/>
      <c r="H19" s="36"/>
    </row>
    <row r="20" spans="2:10">
      <c r="E20" t="s">
        <v>711</v>
      </c>
      <c r="G20" s="36">
        <f>SUM(G8:G18)</f>
        <v>18735675.974236056</v>
      </c>
      <c r="H20" s="36">
        <f>SUM(H8:H18)</f>
        <v>16822122.015287034</v>
      </c>
      <c r="J20" s="292"/>
    </row>
    <row r="21" spans="2:10">
      <c r="G21" s="36"/>
      <c r="H21" s="36"/>
    </row>
    <row r="22" spans="2:10">
      <c r="B22" t="s">
        <v>712</v>
      </c>
      <c r="G22" s="36"/>
      <c r="H22" s="36"/>
    </row>
    <row r="23" spans="2:10">
      <c r="C23" t="s">
        <v>737</v>
      </c>
      <c r="G23" s="36">
        <f>Contract!C6</f>
        <v>19067930</v>
      </c>
      <c r="H23" s="36">
        <f>Contract!D6</f>
        <v>17356031.333333332</v>
      </c>
    </row>
    <row r="24" spans="2:10">
      <c r="C24" t="s">
        <v>713</v>
      </c>
      <c r="G24" s="36">
        <f>'Attendance Financials'!D14</f>
        <v>140216.94780452026</v>
      </c>
      <c r="H24" s="36">
        <f>'Attendance Financials'!C14</f>
        <v>106849.21720792046</v>
      </c>
    </row>
    <row r="25" spans="2:10">
      <c r="C25" t="s">
        <v>714</v>
      </c>
      <c r="G25" s="36" t="s">
        <v>48</v>
      </c>
      <c r="H25" s="36" t="s">
        <v>48</v>
      </c>
    </row>
    <row r="26" spans="2:10">
      <c r="C26" t="s">
        <v>715</v>
      </c>
      <c r="G26" s="36" t="s">
        <v>48</v>
      </c>
      <c r="H26" s="36" t="s">
        <v>48</v>
      </c>
    </row>
    <row r="27" spans="2:10">
      <c r="C27" t="s">
        <v>736</v>
      </c>
      <c r="G27" s="36" t="s">
        <v>48</v>
      </c>
      <c r="H27" s="36" t="s">
        <v>48</v>
      </c>
    </row>
    <row r="28" spans="2:10">
      <c r="C28" t="s">
        <v>740</v>
      </c>
      <c r="G28" s="36">
        <f>Playoff!C35</f>
        <v>1562817.2349721072</v>
      </c>
      <c r="H28" s="36">
        <f>Playoff!D35</f>
        <v>1507543.2999919981</v>
      </c>
    </row>
    <row r="29" spans="2:10">
      <c r="E29" t="s">
        <v>716</v>
      </c>
      <c r="G29" s="36">
        <f>SUM(G23:G28)</f>
        <v>20770964.18277663</v>
      </c>
      <c r="H29" s="36">
        <f>SUM(H23:H28)</f>
        <v>18970423.850533251</v>
      </c>
    </row>
    <row r="30" spans="2:10">
      <c r="F30" t="s">
        <v>717</v>
      </c>
      <c r="G30" s="36">
        <f>G20-G29</f>
        <v>-2035288.2085405737</v>
      </c>
      <c r="H30" s="36">
        <f>H20-H29</f>
        <v>-2148301.8352462165</v>
      </c>
    </row>
    <row r="31" spans="2:10">
      <c r="G31" s="36">
        <f>G20-G34</f>
        <v>15538461.644161643</v>
      </c>
      <c r="H31" s="36">
        <f>H20-H34</f>
        <v>13951452.729401875</v>
      </c>
      <c r="I31" s="46"/>
    </row>
    <row r="32" spans="2:10">
      <c r="B32" t="s">
        <v>718</v>
      </c>
      <c r="G32" s="36"/>
      <c r="H32" s="36"/>
    </row>
    <row r="33" spans="2:10">
      <c r="C33" t="s">
        <v>719</v>
      </c>
      <c r="G33" s="36" t="s">
        <v>48</v>
      </c>
      <c r="H33" s="36" t="s">
        <v>48</v>
      </c>
    </row>
    <row r="34" spans="2:10">
      <c r="C34" t="s">
        <v>720</v>
      </c>
      <c r="G34" s="36">
        <f>G20*'Revenue Sharing Pool'!$C$6</f>
        <v>3197214.3300744127</v>
      </c>
      <c r="H34" s="36">
        <f>H20*'Revenue Sharing Pool'!$C$6</f>
        <v>2870669.2858851599</v>
      </c>
      <c r="J34" s="292"/>
    </row>
    <row r="35" spans="2:10">
      <c r="E35" t="s">
        <v>721</v>
      </c>
      <c r="G35" s="36">
        <f>SUM(G33:G34)</f>
        <v>3197214.3300744127</v>
      </c>
      <c r="H35" s="36">
        <f>SUM(H33:H34)</f>
        <v>2870669.2858851599</v>
      </c>
    </row>
    <row r="36" spans="2:10">
      <c r="G36" s="36"/>
      <c r="H36" s="36"/>
    </row>
    <row r="37" spans="2:10">
      <c r="B37" t="s">
        <v>722</v>
      </c>
      <c r="G37" s="36">
        <f>G30-G35</f>
        <v>-5232502.5386149865</v>
      </c>
      <c r="H37" s="36">
        <f>H30-H35</f>
        <v>-5018971.1211313764</v>
      </c>
    </row>
    <row r="38" spans="2:10">
      <c r="G38" s="46"/>
    </row>
    <row r="39" spans="2:10">
      <c r="G39" s="36"/>
    </row>
    <row r="40" spans="2:10">
      <c r="G40" s="4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K37" activeCellId="1" sqref="B17 K37"/>
    </sheetView>
  </sheetViews>
  <sheetFormatPr defaultColWidth="8.796875" defaultRowHeight="15.6"/>
  <cols>
    <col min="1" max="1" width="22.296875" bestFit="1" customWidth="1"/>
    <col min="2" max="6" width="18.296875" bestFit="1" customWidth="1"/>
    <col min="7" max="8" width="9.796875" bestFit="1" customWidth="1"/>
    <col min="9" max="9" width="18.296875" bestFit="1" customWidth="1"/>
    <col min="10" max="12" width="9.796875" bestFit="1" customWidth="1"/>
    <col min="14" max="14" width="17.796875" bestFit="1" customWidth="1"/>
  </cols>
  <sheetData>
    <row r="1" spans="1:14">
      <c r="B1">
        <v>2016</v>
      </c>
      <c r="C1">
        <v>2015</v>
      </c>
      <c r="D1">
        <v>2014</v>
      </c>
      <c r="E1">
        <v>2013</v>
      </c>
      <c r="F1">
        <v>2012</v>
      </c>
      <c r="G1">
        <v>2011</v>
      </c>
      <c r="H1">
        <v>2010</v>
      </c>
      <c r="I1">
        <v>2009</v>
      </c>
      <c r="J1">
        <v>2008</v>
      </c>
      <c r="K1">
        <v>2007</v>
      </c>
      <c r="L1">
        <v>2006</v>
      </c>
    </row>
    <row r="2" spans="1:14">
      <c r="A2" t="s">
        <v>291</v>
      </c>
      <c r="B2" s="44">
        <f>VLOOKUP(A2,'2016 Value'!$B$4:$J$33,9,FALSE)</f>
        <v>3000000000</v>
      </c>
      <c r="C2">
        <f>VLOOKUP(A2,'2015 Value'!$B$4:$I$33,8,FALSE)</f>
        <v>2500000000</v>
      </c>
      <c r="D2">
        <f>VLOOKUP(A2,'2014 Value'!$B$5:$I$34,8,FALSE)</f>
        <v>1400000000</v>
      </c>
      <c r="E2">
        <f>VLOOKUP(A2,'2013 Value'!$B$4:$I$33,8,0)</f>
        <v>1100000000</v>
      </c>
      <c r="F2">
        <f>VLOOKUP(A2,'2012 Value'!$B$4:$J$33,9,0)</f>
        <v>780000000</v>
      </c>
      <c r="G2">
        <f>VLOOKUP(A2,'2011 Value'!$A$4:$H$33,8,0)</f>
        <v>655000000</v>
      </c>
      <c r="H2">
        <f>VLOOKUP(A2,'2010 Value'!$A$5:$J$34,10,0)</f>
        <v>586000000</v>
      </c>
      <c r="I2">
        <f>VLOOKUP(A2,'2009 Value'!$B$4:$J$33,9,0)</f>
        <v>613000000</v>
      </c>
      <c r="J2">
        <f>VLOOKUP(A2,'2008 Value'!$B$4:$J$33,9,0)</f>
        <v>608000000</v>
      </c>
      <c r="K2">
        <f>VLOOKUP(A2,'2007 Value'!B6:I35,8,0)</f>
        <v>592000000</v>
      </c>
      <c r="L2">
        <f>VLOOKUP(A2,'2006 Value'!$B$4:$J$33,9,0)</f>
        <v>543000000</v>
      </c>
    </row>
    <row r="3" spans="1:14">
      <c r="A3" t="s">
        <v>292</v>
      </c>
      <c r="B3" s="44">
        <f>VLOOKUP(A3,'2016 Value'!$B$4:$J$33,9,FALSE)</f>
        <v>2700000000</v>
      </c>
      <c r="C3">
        <f>VLOOKUP(A3,'2015 Value'!$B$4:$I$33,8,FALSE)</f>
        <v>2600000000</v>
      </c>
      <c r="D3">
        <f>VLOOKUP(A3,'2014 Value'!$B$5:$I$34,8,FALSE)</f>
        <v>1350000000</v>
      </c>
      <c r="E3">
        <f>VLOOKUP(A3,'2013 Value'!$B$4:$I$33,8,0)</f>
        <v>1000000000</v>
      </c>
      <c r="F3">
        <f>VLOOKUP(A3,'2012 Value'!$B$4:$J$33,9,0)</f>
        <v>900000000</v>
      </c>
      <c r="G3">
        <f>VLOOKUP(A3,'2011 Value'!$A$4:$H$33,8,0)</f>
        <v>643000000</v>
      </c>
      <c r="H3">
        <f>VLOOKUP(A3,'2010 Value'!$A$5:$J$34,10,0)</f>
        <v>607000000</v>
      </c>
      <c r="I3">
        <f>VLOOKUP(A3,'2009 Value'!$B$4:$J$33,9,0)</f>
        <v>584000000</v>
      </c>
      <c r="J3">
        <f>VLOOKUP(A3,'2008 Value'!$B$4:$J$33,9,0)</f>
        <v>560000000</v>
      </c>
      <c r="K3">
        <f>VLOOKUP(A3,'2007 Value'!B7:I36,8,0)</f>
        <v>568000000</v>
      </c>
      <c r="L3">
        <f>VLOOKUP(A3,'2006 Value'!$B$4:$J$33,9,0)</f>
        <v>529000000</v>
      </c>
    </row>
    <row r="4" spans="1:14">
      <c r="A4" t="s">
        <v>293</v>
      </c>
      <c r="B4" s="44">
        <f>VLOOKUP(A4,'2016 Value'!$B$4:$J$33,9,FALSE)</f>
        <v>2300000000</v>
      </c>
      <c r="C4">
        <f>VLOOKUP(A4,'2015 Value'!$B$4:$I$33,8,FALSE)</f>
        <v>2000000000</v>
      </c>
      <c r="D4">
        <f>VLOOKUP(A4,'2014 Value'!$B$5:$I$34,8,FALSE)</f>
        <v>1000000000</v>
      </c>
      <c r="E4">
        <f>VLOOKUP(A4,'2013 Value'!$B$4:$I$33,8,0)</f>
        <v>800000000</v>
      </c>
      <c r="F4">
        <f>VLOOKUP(A4,'2012 Value'!$B$4:$J$33,9,0)</f>
        <v>600000000</v>
      </c>
      <c r="G4" t="e">
        <f>VLOOKUP(A4,'2011 Value'!$A$4:$H$33,8,0)</f>
        <v>#N/A</v>
      </c>
      <c r="H4" t="e">
        <f>VLOOKUP(A4,'2010 Value'!$A$5:$J$34,10,0)</f>
        <v>#N/A</v>
      </c>
      <c r="I4">
        <f>VLOOKUP(A4,'2009 Value'!$B$4:$J$33,9,0)</f>
        <v>504000000</v>
      </c>
      <c r="J4">
        <f>VLOOKUP(A4,'2008 Value'!$B$4:$J$33,9,0)</f>
        <v>500000000</v>
      </c>
      <c r="K4">
        <f>VLOOKUP(A4,'2007 Value'!B8:I37,8,0)</f>
        <v>461000000</v>
      </c>
      <c r="L4">
        <f>VLOOKUP(A4,'2006 Value'!$B$4:$J$33,9,0)</f>
        <v>409000000</v>
      </c>
    </row>
    <row r="5" spans="1:14">
      <c r="A5" t="s">
        <v>294</v>
      </c>
      <c r="B5" s="44">
        <f>VLOOKUP(A5,'2016 Value'!$B$4:$J$33,9,FALSE)</f>
        <v>2100000000</v>
      </c>
      <c r="C5">
        <f>VLOOKUP(A5,'2015 Value'!$B$4:$I$33,8,FALSE)</f>
        <v>1700000000</v>
      </c>
      <c r="D5">
        <f>VLOOKUP(A5,'2014 Value'!$B$5:$I$34,8,FALSE)</f>
        <v>875000000</v>
      </c>
      <c r="E5">
        <f>VLOOKUP(A5,'2013 Value'!$B$4:$I$33,8,0)</f>
        <v>730000000</v>
      </c>
      <c r="F5">
        <f>VLOOKUP(A5,'2012 Value'!$B$4:$J$33,9,0)</f>
        <v>482000000</v>
      </c>
      <c r="G5" t="e">
        <f>VLOOKUP(A5,'2011 Value'!$A$4:$H$33,8,0)</f>
        <v>#N/A</v>
      </c>
      <c r="H5" t="e">
        <f>VLOOKUP(A5,'2010 Value'!$A$5:$J$34,10,0)</f>
        <v>#N/A</v>
      </c>
      <c r="I5">
        <f>VLOOKUP(A5,'2009 Value'!$B$4:$J$33,9,0)</f>
        <v>447000000</v>
      </c>
      <c r="J5">
        <f>VLOOKUP(A5,'2008 Value'!$B$4:$J$33,9,0)</f>
        <v>391000000</v>
      </c>
      <c r="K5">
        <f>VLOOKUP(A5,'2007 Value'!B9:I38,8,0)</f>
        <v>367000000</v>
      </c>
      <c r="L5">
        <f>VLOOKUP(A5,'2006 Value'!$B$4:$J$33,9,0)</f>
        <v>353000000</v>
      </c>
    </row>
    <row r="6" spans="1:14">
      <c r="A6" t="s">
        <v>295</v>
      </c>
      <c r="B6" s="44">
        <f>VLOOKUP(A6,'2016 Value'!$B$4:$J$33,9,FALSE)</f>
        <v>2000000000</v>
      </c>
      <c r="C6">
        <f>VLOOKUP(A6,'2015 Value'!$B$4:$I$33,8,FALSE)</f>
        <v>1600000000</v>
      </c>
      <c r="D6">
        <f>VLOOKUP(A6,'2014 Value'!$B$5:$I$34,8,FALSE)</f>
        <v>575000000</v>
      </c>
      <c r="E6">
        <f>VLOOKUP(A6,'2013 Value'!$B$4:$I$33,8,0)</f>
        <v>430000000</v>
      </c>
      <c r="F6">
        <f>VLOOKUP(A6,'2012 Value'!$B$4:$J$33,9,0)</f>
        <v>324000000</v>
      </c>
      <c r="G6">
        <f>VLOOKUP(A6,'2011 Value'!$A$4:$H$33,8,0)</f>
        <v>305000000</v>
      </c>
      <c r="H6" t="e">
        <f>VLOOKUP(A6,'2010 Value'!$A$5:$J$34,10,0)</f>
        <v>#N/A</v>
      </c>
      <c r="I6">
        <f>VLOOKUP(A6,'2009 Value'!$B$4:$J$33,9,0)</f>
        <v>297000000</v>
      </c>
      <c r="J6">
        <f>VLOOKUP(A6,'2008 Value'!$B$4:$J$33,9,0)</f>
        <v>294000000</v>
      </c>
      <c r="K6">
        <f>VLOOKUP(A6,'2007 Value'!B10:I39,8,0)</f>
        <v>285000000</v>
      </c>
      <c r="L6">
        <f>VLOOKUP(A6,'2006 Value'!$B$4:$J$33,9,0)</f>
        <v>248000000</v>
      </c>
    </row>
    <row r="7" spans="1:14">
      <c r="A7" t="s">
        <v>296</v>
      </c>
      <c r="B7" s="44">
        <f>VLOOKUP(A7,'2016 Value'!$B$4:$J$33,9,FALSE)</f>
        <v>1900000000</v>
      </c>
      <c r="C7">
        <f>VLOOKUP(A7,'2015 Value'!$B$4:$I$33,8,FALSE)</f>
        <v>1300000000</v>
      </c>
      <c r="D7">
        <f>VLOOKUP(A7,'2014 Value'!$B$5:$I$34,8,FALSE)</f>
        <v>750000000</v>
      </c>
      <c r="E7">
        <f>VLOOKUP(A7,'2013 Value'!$B$4:$I$33,8,0)</f>
        <v>555000000</v>
      </c>
      <c r="F7">
        <f>VLOOKUP(A7,'2012 Value'!$B$4:$J$33,9,0)</f>
        <v>450000000</v>
      </c>
      <c r="G7" t="e">
        <f>VLOOKUP(A7,'2011 Value'!$A$4:$H$33,8,0)</f>
        <v>#N/A</v>
      </c>
      <c r="H7" t="e">
        <f>VLOOKUP(A7,'2010 Value'!$A$5:$J$34,10,0)</f>
        <v>#N/A</v>
      </c>
      <c r="I7">
        <f>VLOOKUP(A7,'2009 Value'!$B$4:$J$33,9,0)</f>
        <v>335000000</v>
      </c>
      <c r="J7">
        <f>VLOOKUP(A7,'2008 Value'!$B$4:$J$33,9,0)</f>
        <v>309000000</v>
      </c>
      <c r="K7">
        <f>VLOOKUP(A7,'2007 Value'!B11:I40,8,0)</f>
        <v>267000000</v>
      </c>
      <c r="L7">
        <f>VLOOKUP(A7,'2006 Value'!$B$4:$J$33,9,0)</f>
        <v>243000000</v>
      </c>
    </row>
    <row r="8" spans="1:14">
      <c r="A8" t="s">
        <v>297</v>
      </c>
      <c r="B8" s="44">
        <f>VLOOKUP(A8,'2016 Value'!$B$4:$J$33,9,FALSE)</f>
        <v>1700000000</v>
      </c>
      <c r="C8">
        <f>VLOOKUP(A8,'2015 Value'!$B$4:$I$33,8,FALSE)</f>
        <v>1500000000</v>
      </c>
      <c r="D8">
        <f>VLOOKUP(A8,'2014 Value'!$B$5:$I$34,8,FALSE)</f>
        <v>780000000</v>
      </c>
      <c r="E8">
        <f>VLOOKUP(A8,'2013 Value'!$B$4:$I$33,8,0)</f>
        <v>530000000</v>
      </c>
      <c r="F8">
        <v>357000000</v>
      </c>
      <c r="G8" t="e">
        <v>#N/A</v>
      </c>
      <c r="H8" t="e">
        <v>#N/A</v>
      </c>
      <c r="I8">
        <v>295000000</v>
      </c>
      <c r="J8">
        <v>338000000</v>
      </c>
      <c r="K8">
        <v>325000000</v>
      </c>
      <c r="L8">
        <v>271000000</v>
      </c>
      <c r="N8" t="s">
        <v>298</v>
      </c>
    </row>
    <row r="9" spans="1:14">
      <c r="A9" t="s">
        <v>299</v>
      </c>
      <c r="B9" s="44">
        <f>VLOOKUP(A9,'2016 Value'!$B$4:$J$33,9,FALSE)</f>
        <v>1500000000</v>
      </c>
      <c r="C9">
        <f>VLOOKUP(A9,'2015 Value'!$B$4:$I$33,8,FALSE)</f>
        <v>1250000000</v>
      </c>
      <c r="D9">
        <f>VLOOKUP(A9,'2014 Value'!$B$5:$I$34,8,FALSE)</f>
        <v>775000000</v>
      </c>
      <c r="E9">
        <f>VLOOKUP(A9,'2013 Value'!$B$4:$I$33,8,0)</f>
        <v>568000000</v>
      </c>
      <c r="F9">
        <f>VLOOKUP(A9,'2012 Value'!$B$4:$J$33,9,0)</f>
        <v>453000000</v>
      </c>
      <c r="G9" t="e">
        <f>VLOOKUP(A9,'2011 Value'!$A$4:$H$33,8,0)</f>
        <v>#N/A</v>
      </c>
      <c r="H9" t="e">
        <f>VLOOKUP(A9,'2010 Value'!$A$5:$J$34,10,0)</f>
        <v>#N/A</v>
      </c>
      <c r="I9">
        <f>VLOOKUP(A9,'2009 Value'!$B$4:$J$33,9,0)</f>
        <v>469000000</v>
      </c>
      <c r="J9">
        <f>VLOOKUP(A9,'2008 Value'!$B$4:$J$33,9,0)</f>
        <v>462000000</v>
      </c>
      <c r="K9" t="e">
        <f>VLOOKUP(A9,'2007 Value'!B13:I42,8,0)</f>
        <v>#N/A</v>
      </c>
      <c r="L9">
        <f>VLOOKUP(A9,'2006 Value'!$B$4:$J$33,9,0)</f>
        <v>422000000</v>
      </c>
    </row>
    <row r="10" spans="1:14">
      <c r="A10" t="s">
        <v>300</v>
      </c>
      <c r="B10" s="44">
        <f>VLOOKUP(A10,'2016 Value'!$B$4:$J$33,9,FALSE)</f>
        <v>1400000000</v>
      </c>
      <c r="C10">
        <f>VLOOKUP(A10,'2015 Value'!$B$4:$I$33,8,FALSE)</f>
        <v>1150000000</v>
      </c>
      <c r="D10">
        <f>VLOOKUP(A10,'2014 Value'!$B$5:$I$34,8,FALSE)</f>
        <v>765000000</v>
      </c>
      <c r="E10">
        <f>VLOOKUP(A10,'2013 Value'!$B$4:$I$33,8,0)</f>
        <v>685000000</v>
      </c>
      <c r="F10">
        <f>VLOOKUP(A10,'2012 Value'!$B$4:$J$33,9,0)</f>
        <v>497000000</v>
      </c>
      <c r="G10" t="e">
        <f>VLOOKUP(A10,'2011 Value'!$A$4:$H$33,8,0)</f>
        <v>#N/A</v>
      </c>
      <c r="H10" t="e">
        <f>VLOOKUP(A10,'2010 Value'!$A$5:$J$34,10,0)</f>
        <v>#N/A</v>
      </c>
      <c r="I10">
        <f>VLOOKUP(A10,'2009 Value'!$B$4:$J$33,9,0)</f>
        <v>466000000</v>
      </c>
      <c r="J10">
        <f>VLOOKUP(A10,'2008 Value'!$B$4:$J$33,9,0)</f>
        <v>461000000</v>
      </c>
      <c r="K10" t="e">
        <f>VLOOKUP(A10,'2007 Value'!B14:I43,8,0)</f>
        <v>#N/A</v>
      </c>
      <c r="L10">
        <f>VLOOKUP(A10,'2006 Value'!$B$4:$J$33,9,0)</f>
        <v>403000000</v>
      </c>
    </row>
    <row r="11" spans="1:14">
      <c r="A11" t="s">
        <v>301</v>
      </c>
      <c r="B11" s="44">
        <f>VLOOKUP(A11,'2016 Value'!$B$4:$J$33,9,FALSE)</f>
        <v>1300000000</v>
      </c>
      <c r="C11">
        <f>VLOOKUP(A11,'2015 Value'!$B$4:$I$33,8,FALSE)</f>
        <v>1175000000</v>
      </c>
      <c r="D11">
        <f>VLOOKUP(A11,'2014 Value'!$B$5:$I$34,8,FALSE)</f>
        <v>770000000</v>
      </c>
      <c r="E11">
        <f>VLOOKUP(A11,'2013 Value'!$B$4:$I$33,8,0)</f>
        <v>625000000</v>
      </c>
      <c r="F11">
        <f>VLOOKUP(A11,'2012 Value'!$B$4:$J$33,9,0)</f>
        <v>457000000</v>
      </c>
      <c r="G11" t="e">
        <f>VLOOKUP(A11,'2011 Value'!$A$4:$H$33,8,0)</f>
        <v>#N/A</v>
      </c>
      <c r="H11" t="e">
        <f>VLOOKUP(A11,'2010 Value'!$A$5:$J$34,10,0)</f>
        <v>#N/A</v>
      </c>
      <c r="I11">
        <f>VLOOKUP(A11,'2009 Value'!$B$4:$J$33,9,0)</f>
        <v>393000000</v>
      </c>
      <c r="J11">
        <f>VLOOKUP(A11,'2008 Value'!$B$4:$J$33,9,0)</f>
        <v>418000000</v>
      </c>
      <c r="K11" t="e">
        <f>VLOOKUP(A11,'2007 Value'!B15:I44,8,0)</f>
        <v>#N/A</v>
      </c>
      <c r="L11">
        <f>VLOOKUP(A11,'2006 Value'!$B$4:$J$33,9,0)</f>
        <v>362000000</v>
      </c>
    </row>
    <row r="12" spans="1:14">
      <c r="A12" t="s">
        <v>302</v>
      </c>
      <c r="B12" s="44">
        <f>VLOOKUP(A12,'2016 Value'!$B$4:$J$33,9,FALSE)</f>
        <v>1150000000</v>
      </c>
      <c r="C12">
        <f>VLOOKUP(A12,'2015 Value'!$B$4:$I$33,8,FALSE)</f>
        <v>1000000000</v>
      </c>
      <c r="D12">
        <f>VLOOKUP(A12,'2014 Value'!$B$5:$I$34,8,FALSE)</f>
        <v>660000000</v>
      </c>
      <c r="E12">
        <f>VLOOKUP(A12,'2013 Value'!$B$4:$I$33,8,0)</f>
        <v>527000000</v>
      </c>
      <c r="F12">
        <f>VLOOKUP(A12,'2012 Value'!$B$4:$J$33,9,0)</f>
        <v>418000000</v>
      </c>
      <c r="G12" t="e">
        <f>VLOOKUP(A12,'2011 Value'!$A$4:$H$33,8,0)</f>
        <v>#N/A</v>
      </c>
      <c r="H12" t="e">
        <f>VLOOKUP(A12,'2010 Value'!$A$5:$J$34,10,0)</f>
        <v>#N/A</v>
      </c>
      <c r="I12">
        <f>VLOOKUP(A12,'2009 Value'!$B$4:$J$33,9,0)</f>
        <v>415000000</v>
      </c>
      <c r="J12">
        <f>VLOOKUP(A12,'2008 Value'!$B$4:$J$33,9,0)</f>
        <v>405000000</v>
      </c>
      <c r="K12" t="e">
        <f>VLOOKUP(A12,'2007 Value'!B16:I45,8,0)</f>
        <v>#N/A</v>
      </c>
      <c r="L12">
        <f>VLOOKUP(A12,'2006 Value'!$B$4:$J$33,9,0)</f>
        <v>350000000</v>
      </c>
    </row>
    <row r="13" spans="1:14">
      <c r="A13" t="s">
        <v>303</v>
      </c>
      <c r="B13" s="44">
        <f>VLOOKUP(A13,'2016 Value'!$B$4:$J$33,9,FALSE)</f>
        <v>1100000000</v>
      </c>
      <c r="C13">
        <f>VLOOKUP(A13,'2015 Value'!$B$4:$I$33,8,FALSE)</f>
        <v>915000000</v>
      </c>
      <c r="D13">
        <f>VLOOKUP(A13,'2014 Value'!$B$5:$I$34,8,FALSE)</f>
        <v>515000000</v>
      </c>
      <c r="E13">
        <f>VLOOKUP(A13,'2013 Value'!$B$4:$I$33,8,0)</f>
        <v>434000000</v>
      </c>
      <c r="F13">
        <f>VLOOKUP(A13,'2012 Value'!$B$4:$J$33,9,0)</f>
        <v>329000000</v>
      </c>
      <c r="G13" t="e">
        <f>VLOOKUP(A13,'2011 Value'!$A$4:$H$33,8,0)</f>
        <v>#N/A</v>
      </c>
      <c r="H13" t="e">
        <f>VLOOKUP(A13,'2010 Value'!$A$5:$J$34,10,0)</f>
        <v>#N/A</v>
      </c>
      <c r="I13">
        <f>VLOOKUP(A13,'2009 Value'!$B$4:$J$33,9,0)</f>
        <v>477000000</v>
      </c>
      <c r="J13">
        <f>VLOOKUP(A13,'2008 Value'!$B$4:$J$33,9,0)</f>
        <v>455000000</v>
      </c>
      <c r="K13" t="e">
        <f>VLOOKUP(A13,'2007 Value'!B17:I46,8,0)</f>
        <v>#N/A</v>
      </c>
      <c r="L13">
        <f>VLOOKUP(A13,'2006 Value'!$B$4:$J$33,9,0)</f>
        <v>356000000</v>
      </c>
    </row>
    <row r="14" spans="1:14">
      <c r="A14" t="s">
        <v>304</v>
      </c>
      <c r="B14" s="44">
        <f>VLOOKUP(A14,'2016 Value'!$B$4:$J$33,9,FALSE)</f>
        <v>1000000000</v>
      </c>
      <c r="C14">
        <f>VLOOKUP(A14,'2015 Value'!$B$4:$I$33,8,FALSE)</f>
        <v>910000000</v>
      </c>
      <c r="D14">
        <f>VLOOKUP(A14,'2014 Value'!$B$5:$I$34,8,FALSE)</f>
        <v>565000000</v>
      </c>
      <c r="E14">
        <f>VLOOKUP(A14,'2013 Value'!$B$4:$I$33,8,0)</f>
        <v>474000000</v>
      </c>
      <c r="F14">
        <f>VLOOKUP(A14,'2012 Value'!$B$4:$J$33,9,0)</f>
        <v>395000000</v>
      </c>
      <c r="G14" t="e">
        <f>VLOOKUP(A14,'2011 Value'!$A$4:$H$33,8,0)</f>
        <v>#N/A</v>
      </c>
      <c r="H14" t="e">
        <f>VLOOKUP(A14,'2010 Value'!$A$5:$J$34,10,0)</f>
        <v>#N/A</v>
      </c>
      <c r="I14">
        <f>VLOOKUP(A14,'2009 Value'!$B$4:$J$33,9,0)</f>
        <v>452000000</v>
      </c>
      <c r="J14">
        <f>VLOOKUP(A14,'2008 Value'!$B$4:$J$33,9,0)</f>
        <v>449000000</v>
      </c>
      <c r="K14" t="e">
        <f>VLOOKUP(A14,'2007 Value'!B18:I47,8,0)</f>
        <v>#N/A</v>
      </c>
      <c r="L14">
        <f>VLOOKUP(A14,'2006 Value'!$B$4:$J$33,9,0)</f>
        <v>395000000</v>
      </c>
    </row>
    <row r="15" spans="1:14">
      <c r="A15" t="s">
        <v>305</v>
      </c>
      <c r="B15" s="44">
        <f>VLOOKUP(A15,'2016 Value'!$B$4:$J$33,9,FALSE)</f>
        <v>980000000</v>
      </c>
      <c r="C15">
        <f>VLOOKUP(A15,'2015 Value'!$B$4:$I$33,8,FALSE)</f>
        <v>920000000</v>
      </c>
      <c r="D15">
        <f>VLOOKUP(A15,'2014 Value'!$B$5:$I$34,8,FALSE)</f>
        <v>520000000</v>
      </c>
      <c r="E15">
        <f>VLOOKUP(A15,'2013 Value'!$B$4:$I$33,8,0)</f>
        <v>405000000</v>
      </c>
      <c r="F15">
        <f>VLOOKUP(A15,'2012 Value'!$B$4:$J$33,9,0)</f>
        <v>382000000</v>
      </c>
      <c r="G15" t="e">
        <f>VLOOKUP(A15,'2011 Value'!$A$4:$H$33,8,0)</f>
        <v>#N/A</v>
      </c>
      <c r="H15" t="e">
        <f>VLOOKUP(A15,'2010 Value'!$A$5:$J$34,10,0)</f>
        <v>#N/A</v>
      </c>
      <c r="I15">
        <f>VLOOKUP(A15,'2009 Value'!$B$4:$J$33,9,0)</f>
        <v>400000000</v>
      </c>
      <c r="J15">
        <f>VLOOKUP(A15,'2008 Value'!$B$4:$J$33,9,0)</f>
        <v>373000000</v>
      </c>
      <c r="K15">
        <f>VLOOKUP(A15,'2007 Value'!B19:I48,8,0)</f>
        <v>315000000</v>
      </c>
      <c r="L15">
        <f>VLOOKUP(A15,'2006 Value'!$B$4:$J$33,9,0)</f>
        <v>278000000</v>
      </c>
    </row>
    <row r="16" spans="1:14">
      <c r="A16" t="s">
        <v>306</v>
      </c>
      <c r="B16" s="44">
        <f>VLOOKUP(A16,'2016 Value'!$B$4:$J$33,9,FALSE)</f>
        <v>975000000</v>
      </c>
      <c r="C16">
        <f>VLOOKUP(A16,'2015 Value'!$B$4:$I$33,8,FALSE)</f>
        <v>940000000</v>
      </c>
      <c r="D16">
        <f>VLOOKUP(A16,'2014 Value'!$B$5:$I$34,8,FALSE)</f>
        <v>587000000</v>
      </c>
      <c r="E16">
        <f>VLOOKUP(A16,'2013 Value'!$B$4:$I$33,8,0)</f>
        <v>457000000</v>
      </c>
      <c r="F16">
        <f>VLOOKUP(A16,'2012 Value'!$B$4:$J$33,9,0)</f>
        <v>370000000</v>
      </c>
      <c r="G16" t="e">
        <f>VLOOKUP(A16,'2011 Value'!$A$4:$H$33,8,0)</f>
        <v>#N/A</v>
      </c>
      <c r="H16" t="e">
        <f>VLOOKUP(A16,'2010 Value'!$A$5:$J$34,10,0)</f>
        <v>#N/A</v>
      </c>
      <c r="I16">
        <f>VLOOKUP(A16,'2009 Value'!$B$4:$J$33,9,0)</f>
        <v>307000000</v>
      </c>
      <c r="J16">
        <f>VLOOKUP(A16,'2008 Value'!$B$4:$J$33,9,0)</f>
        <v>253000000</v>
      </c>
      <c r="K16">
        <f>VLOOKUP(A16,'2007 Value'!B20:I49,8,0)</f>
        <v>230000000</v>
      </c>
      <c r="L16">
        <f>VLOOKUP(A16,'2006 Value'!$B$4:$J$33,9,0)</f>
        <v>227000000</v>
      </c>
    </row>
    <row r="17" spans="1:14">
      <c r="A17" t="s">
        <v>307</v>
      </c>
      <c r="B17" s="44">
        <f>VLOOKUP(A17,'2016 Value'!$B$4:$J$33,9,FALSE)</f>
        <v>960000000</v>
      </c>
      <c r="C17">
        <f>VLOOKUP(A17,'2015 Value'!$B$4:$I$33,8,FALSE)</f>
        <v>900000000</v>
      </c>
      <c r="D17">
        <f>VLOOKUP(A17,'2014 Value'!$B$5:$I$34,8,FALSE)</f>
        <v>485000000</v>
      </c>
      <c r="E17">
        <f>VLOOKUP(A17,'2013 Value'!$B$4:$I$33,8,0)</f>
        <v>397000000</v>
      </c>
      <c r="F17">
        <f>VLOOKUP(A17,'2012 Value'!$B$4:$J$33,9,0)</f>
        <v>328000000</v>
      </c>
      <c r="G17" t="e">
        <f>VLOOKUP(A17,'2011 Value'!$A$4:$H$33,8,0)</f>
        <v>#N/A</v>
      </c>
      <c r="H17" t="e">
        <f>VLOOKUP(A17,'2010 Value'!$A$5:$J$34,10,0)</f>
        <v>#N/A</v>
      </c>
      <c r="I17">
        <f>VLOOKUP(A17,'2009 Value'!$B$4:$J$33,9,0)</f>
        <v>353000000</v>
      </c>
      <c r="J17">
        <f>VLOOKUP(A17,'2008 Value'!$B$4:$J$33,9,0)</f>
        <v>348000000</v>
      </c>
      <c r="K17" t="e">
        <f>VLOOKUP(A17,'2007 Value'!B21:I50,8,0)</f>
        <v>#N/A</v>
      </c>
      <c r="L17">
        <f>VLOOKUP(A17,'2006 Value'!$B$4:$J$33,9,0)</f>
        <v>318000000</v>
      </c>
    </row>
    <row r="18" spans="1:14">
      <c r="A18" t="s">
        <v>77</v>
      </c>
      <c r="B18" s="44">
        <f>VLOOKUP(A18,'2016 Value'!$B$4:$J$33,9,FALSE)</f>
        <v>950000000</v>
      </c>
      <c r="C18">
        <f>VLOOKUP(A18,'2015 Value'!$B$4:$I$33,8,FALSE)</f>
        <v>930000000</v>
      </c>
      <c r="D18">
        <f>VLOOKUP(A18,'2014 Value'!$B$5:$I$34,8,FALSE)</f>
        <v>590000000</v>
      </c>
      <c r="E18">
        <f>VLOOKUP(A18,'2013 Value'!$B$4:$I$33,8,0)</f>
        <v>475000000</v>
      </c>
      <c r="F18">
        <f>VLOOKUP(A18,'2012 Value'!$B$4:$J$33,9,0)</f>
        <v>348000000</v>
      </c>
      <c r="G18" t="e">
        <f>VLOOKUP(A18,'2011 Value'!$A$4:$H$33,8,0)</f>
        <v>#N/A</v>
      </c>
      <c r="H18" t="e">
        <f>VLOOKUP(A18,'2010 Value'!$A$5:$J$34,10,0)</f>
        <v>#N/A</v>
      </c>
      <c r="I18">
        <f>VLOOKUP(A18,'2009 Value'!$B$4:$J$33,9,0)</f>
        <v>300000000</v>
      </c>
      <c r="J18" t="e">
        <f>VLOOKUP(A18,'2008 Value'!$B$4:$J$33,9,0)</f>
        <v>#N/A</v>
      </c>
      <c r="K18" t="e">
        <f>VLOOKUP(A18,'2007 Value'!B22:I51,8,0)</f>
        <v>#N/A</v>
      </c>
      <c r="L18" t="e">
        <f>VLOOKUP(A18,'2006 Value'!$B$4:$J$33,9,0)</f>
        <v>#N/A</v>
      </c>
    </row>
    <row r="19" spans="1:14">
      <c r="A19" t="s">
        <v>308</v>
      </c>
      <c r="B19" s="44">
        <f>VLOOKUP(A19,'2016 Value'!$B$4:$J$33,9,FALSE)</f>
        <v>925000000</v>
      </c>
      <c r="C19">
        <f>VLOOKUP(A19,'2015 Value'!$B$4:$I$33,8,FALSE)</f>
        <v>800000000</v>
      </c>
      <c r="D19">
        <f>VLOOKUP(A19,'2014 Value'!$B$5:$I$34,8,FALSE)</f>
        <v>550000000</v>
      </c>
      <c r="E19">
        <f>VLOOKUP(A19,'2013 Value'!$B$4:$I$33,8,0)</f>
        <v>525000000</v>
      </c>
      <c r="F19">
        <f>VLOOKUP(A19,'2012 Value'!$B$4:$J$33,9,0)</f>
        <v>300000000</v>
      </c>
      <c r="G19" t="e">
        <f>VLOOKUP(A19,'2011 Value'!$A$4:$H$33,8,0)</f>
        <v>#N/A</v>
      </c>
      <c r="H19" t="e">
        <f>VLOOKUP(A19,'2010 Value'!$A$5:$J$34,10,0)</f>
        <v>#N/A</v>
      </c>
      <c r="I19">
        <f>VLOOKUP(A19,'2009 Value'!$B$4:$J$33,9,0)</f>
        <v>350000000</v>
      </c>
      <c r="J19">
        <f>VLOOKUP(A19,'2008 Value'!$B$4:$J$33,9,0)</f>
        <v>385000000</v>
      </c>
      <c r="K19" t="e">
        <f>VLOOKUP(A19,'2007 Value'!B23:I52,8,0)</f>
        <v>#N/A</v>
      </c>
      <c r="L19">
        <f>VLOOKUP(A19,'2006 Value'!$B$4:$J$33,9,0)</f>
        <v>345000000</v>
      </c>
    </row>
    <row r="20" spans="1:14">
      <c r="A20" t="s">
        <v>309</v>
      </c>
      <c r="B20" s="44">
        <f>VLOOKUP(A20,'2016 Value'!$B$4:$J$33,9,FALSE)</f>
        <v>900000000</v>
      </c>
      <c r="C20">
        <f>VLOOKUP(A20,'2015 Value'!$B$4:$I$33,8,FALSE)</f>
        <v>875000000</v>
      </c>
      <c r="D20">
        <f>VLOOKUP(A20,'2014 Value'!$B$5:$I$34,8,FALSE)</f>
        <v>560000000</v>
      </c>
      <c r="E20">
        <f>VLOOKUP(A20,'2013 Value'!$B$4:$I$33,8,0)</f>
        <v>470000000</v>
      </c>
      <c r="F20">
        <f>VLOOKUP(A20,'2012 Value'!$B$4:$J$33,9,0)</f>
        <v>385000000</v>
      </c>
      <c r="G20" t="e">
        <f>VLOOKUP(A20,'2011 Value'!$A$4:$H$33,8,0)</f>
        <v>#N/A</v>
      </c>
      <c r="H20" t="e">
        <f>VLOOKUP(A20,'2010 Value'!$A$5:$J$34,10,0)</f>
        <v>#N/A</v>
      </c>
      <c r="I20">
        <f>VLOOKUP(A20,'2009 Value'!$B$4:$J$33,9,0)</f>
        <v>349000000</v>
      </c>
      <c r="J20">
        <f>VLOOKUP(A20,'2008 Value'!$B$4:$J$33,9,0)</f>
        <v>322000000</v>
      </c>
      <c r="K20">
        <f>VLOOKUP(A20,'2007 Value'!B24:I53,8,0)</f>
        <v>283000000</v>
      </c>
      <c r="L20">
        <f>VLOOKUP(A20,'2006 Value'!$B$4:$J$33,9,0)</f>
        <v>247000000</v>
      </c>
    </row>
    <row r="21" spans="1:14">
      <c r="A21" t="s">
        <v>310</v>
      </c>
      <c r="B21" s="44">
        <f>VLOOKUP(A21,'2016 Value'!$B$4:$J$33,9,FALSE)</f>
        <v>875000000</v>
      </c>
      <c r="C21">
        <f>VLOOKUP(A21,'2015 Value'!$B$4:$I$33,8,FALSE)</f>
        <v>850000000</v>
      </c>
      <c r="D21">
        <f>VLOOKUP(A21,'2014 Value'!$B$5:$I$34,8,FALSE)</f>
        <v>525000000</v>
      </c>
      <c r="E21">
        <f>VLOOKUP(A21,'2013 Value'!$B$4:$I$33,8,0)</f>
        <v>432000000</v>
      </c>
      <c r="F21">
        <f>VLOOKUP(A21,'2012 Value'!$B$4:$J$33,9,0)</f>
        <v>335000000</v>
      </c>
      <c r="G21" t="e">
        <f>VLOOKUP(A21,'2011 Value'!$A$4:$H$33,8,0)</f>
        <v>#N/A</v>
      </c>
      <c r="H21" t="e">
        <f>VLOOKUP(A21,'2010 Value'!$A$5:$J$34,10,0)</f>
        <v>#N/A</v>
      </c>
      <c r="I21">
        <f>VLOOKUP(A21,'2009 Value'!$B$4:$J$33,9,0)</f>
        <v>358000000</v>
      </c>
      <c r="J21">
        <f>VLOOKUP(A21,'2008 Value'!$B$4:$J$33,9,0)</f>
        <v>342000000</v>
      </c>
      <c r="K21">
        <f>VLOOKUP(A21,'2007 Value'!B25:I54,8,0)</f>
        <v>297000000</v>
      </c>
      <c r="L21">
        <f>VLOOKUP(A21,'2006 Value'!$B$4:$J$33,9,0)</f>
        <v>274000000</v>
      </c>
    </row>
    <row r="22" spans="1:14">
      <c r="A22" t="s">
        <v>311</v>
      </c>
      <c r="B22" s="44">
        <f>VLOOKUP(A22,'2016 Value'!$B$4:$J$33,9,FALSE)</f>
        <v>855000000</v>
      </c>
      <c r="C22">
        <f>VLOOKUP(A22,'2015 Value'!$B$4:$I$33,8,FALSE)</f>
        <v>855000000</v>
      </c>
      <c r="D22">
        <f>VLOOKUP(A22,'2014 Value'!$B$5:$I$34,8,FALSE)</f>
        <v>495000000</v>
      </c>
      <c r="E22">
        <f>VLOOKUP(A22,'2013 Value'!$B$4:$I$33,8,0)</f>
        <v>427000000</v>
      </c>
      <c r="F22">
        <f>VLOOKUP(A22,'2012 Value'!$B$4:$J$33,9,0)</f>
        <v>316000000</v>
      </c>
      <c r="G22" t="e">
        <f>VLOOKUP(A22,'2011 Value'!$A$4:$H$33,8,0)</f>
        <v>#N/A</v>
      </c>
      <c r="H22" t="e">
        <f>VLOOKUP(A22,'2010 Value'!$A$5:$J$34,10,0)</f>
        <v>#N/A</v>
      </c>
      <c r="I22">
        <f>VLOOKUP(A22,'2009 Value'!$B$4:$J$33,9,0)</f>
        <v>329000000</v>
      </c>
      <c r="J22">
        <f>VLOOKUP(A22,'2008 Value'!$B$4:$J$33,9,0)</f>
        <v>321000000</v>
      </c>
      <c r="K22" t="e">
        <f>VLOOKUP(A22,'2007 Value'!B26:I55,8,0)</f>
        <v>#N/A</v>
      </c>
      <c r="L22">
        <f>VLOOKUP(A22,'2006 Value'!$B$4:$J$33,9,0)</f>
        <v>283000000</v>
      </c>
    </row>
    <row r="23" spans="1:14">
      <c r="A23" t="s">
        <v>312</v>
      </c>
      <c r="B23" s="44">
        <f>VLOOKUP(A23,'2016 Value'!$B$4:$J$33,9,FALSE)</f>
        <v>850000000</v>
      </c>
      <c r="C23">
        <f>VLOOKUP(A23,'2015 Value'!$B$4:$I$33,8,FALSE)</f>
        <v>810000000</v>
      </c>
      <c r="D23">
        <f>VLOOKUP(A23,'2014 Value'!$B$5:$I$34,8,FALSE)</f>
        <v>450000000</v>
      </c>
      <c r="E23">
        <f>VLOOKUP(A23,'2013 Value'!$B$4:$I$33,8,0)</f>
        <v>400000000</v>
      </c>
      <c r="F23">
        <f>VLOOKUP(A23,'2012 Value'!$B$4:$J$33,9,0)</f>
        <v>332000000</v>
      </c>
      <c r="G23" t="e">
        <f>VLOOKUP(A23,'2011 Value'!$A$4:$H$33,8,0)</f>
        <v>#N/A</v>
      </c>
      <c r="H23" t="e">
        <f>VLOOKUP(A23,'2010 Value'!$A$5:$J$34,10,0)</f>
        <v>#N/A</v>
      </c>
      <c r="I23">
        <f>VLOOKUP(A23,'2009 Value'!$B$4:$J$33,9,0)</f>
        <v>480000000</v>
      </c>
      <c r="J23">
        <f>VLOOKUP(A23,'2008 Value'!$B$4:$J$33,9,0)</f>
        <v>477000000</v>
      </c>
      <c r="K23" t="e">
        <f>VLOOKUP(A23,'2007 Value'!B27:I56,8,0)</f>
        <v>#N/A</v>
      </c>
      <c r="L23">
        <f>VLOOKUP(A23,'2006 Value'!$B$4:$J$33,9,0)</f>
        <v>402000000</v>
      </c>
    </row>
    <row r="24" spans="1:14">
      <c r="A24" t="s">
        <v>313</v>
      </c>
      <c r="B24" s="44">
        <f>VLOOKUP(A24,'2016 Value'!$B$4:$J$33,9,FALSE)</f>
        <v>840000000</v>
      </c>
      <c r="C24">
        <f>VLOOKUP(A24,'2015 Value'!$B$4:$I$33,8,FALSE)</f>
        <v>830000000</v>
      </c>
      <c r="D24">
        <f>VLOOKUP(A24,'2014 Value'!$B$5:$I$34,8,FALSE)</f>
        <v>475000000</v>
      </c>
      <c r="E24">
        <f>VLOOKUP(A24,'2013 Value'!$B$4:$I$33,8,0)</f>
        <v>383000000</v>
      </c>
      <c r="F24">
        <f>VLOOKUP(A24,'2012 Value'!$B$4:$J$33,9,0)</f>
        <v>283000000</v>
      </c>
      <c r="G24" t="e">
        <f>VLOOKUP(A24,'2011 Value'!$A$4:$H$33,8,0)</f>
        <v>#N/A</v>
      </c>
      <c r="H24" t="e">
        <f>VLOOKUP(A24,'2010 Value'!$A$5:$J$34,10,0)</f>
        <v>#N/A</v>
      </c>
      <c r="I24">
        <f>VLOOKUP(A24,'2009 Value'!$B$4:$J$33,9,0)</f>
        <v>303000000</v>
      </c>
      <c r="J24">
        <f>VLOOKUP(A24,'2008 Value'!$B$4:$J$33,9,0)</f>
        <v>333000000</v>
      </c>
      <c r="K24" t="e">
        <f>VLOOKUP(A24,'2007 Value'!B28:I57,8,0)</f>
        <v>#N/A</v>
      </c>
      <c r="L24">
        <f>VLOOKUP(A24,'2006 Value'!$B$4:$J$33,9,0)</f>
        <v>324000000</v>
      </c>
    </row>
    <row r="25" spans="1:14">
      <c r="A25" t="s">
        <v>314</v>
      </c>
      <c r="B25" s="44">
        <f>VLOOKUP(A25,'2016 Value'!$B$4:$J$33,9,FALSE)</f>
        <v>825000000</v>
      </c>
      <c r="C25">
        <f>VLOOKUP(A25,'2015 Value'!$B$4:$I$33,8,FALSE)</f>
        <v>825000000</v>
      </c>
      <c r="D25">
        <f>VLOOKUP(A25,'2014 Value'!$B$5:$I$34,8,FALSE)</f>
        <v>425000000</v>
      </c>
      <c r="E25">
        <f>VLOOKUP(A25,'2013 Value'!$B$4:$I$33,8,0)</f>
        <v>316000000</v>
      </c>
      <c r="F25">
        <f>VLOOKUP(A25,'2012 Value'!$B$4:$J$33,9,0)</f>
        <v>270000000</v>
      </c>
      <c r="G25" t="e">
        <f>VLOOKUP(A25,'2011 Value'!$A$4:$H$33,8,0)</f>
        <v>#N/A</v>
      </c>
      <c r="H25" t="e">
        <f>VLOOKUP(A25,'2010 Value'!$A$5:$J$34,10,0)</f>
        <v>#N/A</v>
      </c>
      <c r="I25">
        <f>VLOOKUP(A25,'2009 Value'!$B$4:$J$33,9,0)</f>
        <v>306000000</v>
      </c>
      <c r="J25">
        <f>VLOOKUP(A25,'2008 Value'!$B$4:$J$33,9,0)</f>
        <v>286000000</v>
      </c>
      <c r="K25">
        <f>VLOOKUP(A25,'2007 Value'!B29:I58,8,0)</f>
        <v>275000000</v>
      </c>
      <c r="L25">
        <f>VLOOKUP(A25,'2006 Value'!$B$4:$J$33,9,0)</f>
        <v>262000000</v>
      </c>
    </row>
    <row r="26" spans="1:14">
      <c r="A26" t="s">
        <v>315</v>
      </c>
      <c r="B26" s="44">
        <f>VLOOKUP(A26,'2016 Value'!$B$4:$J$33,9,FALSE)</f>
        <v>780000000</v>
      </c>
      <c r="C26">
        <f>VLOOKUP(A26,'2015 Value'!$B$4:$I$33,8,FALSE)</f>
        <v>750000000</v>
      </c>
      <c r="D26">
        <f>VLOOKUP(A26,'2014 Value'!$B$5:$I$34,8,FALSE)</f>
        <v>453000000</v>
      </c>
      <c r="E26">
        <f>VLOOKUP(A26,'2013 Value'!$B$4:$I$33,8,0)</f>
        <v>377000000</v>
      </c>
      <c r="F26">
        <f>VLOOKUP(A26,'2012 Value'!$B$4:$J$33,9,0)</f>
        <v>269000000</v>
      </c>
      <c r="G26" t="e">
        <f>VLOOKUP(A26,'2011 Value'!$A$4:$H$33,8,0)</f>
        <v>#N/A</v>
      </c>
      <c r="H26" t="e">
        <f>VLOOKUP(A26,'2010 Value'!$A$5:$J$34,10,0)</f>
        <v>#N/A</v>
      </c>
      <c r="I26">
        <f>VLOOKUP(A26,'2009 Value'!$B$4:$J$33,9,0)</f>
        <v>294000000</v>
      </c>
      <c r="J26">
        <f>VLOOKUP(A26,'2008 Value'!$B$4:$J$33,9,0)</f>
        <v>304000000</v>
      </c>
      <c r="K26" t="e">
        <f>VLOOKUP(A26,'2007 Value'!B30:I59,8,0)</f>
        <v>#N/A</v>
      </c>
      <c r="L26">
        <f>VLOOKUP(A26,'2006 Value'!$B$4:$J$33,9,0)</f>
        <v>294000000</v>
      </c>
    </row>
    <row r="27" spans="1:14">
      <c r="A27" t="s">
        <v>316</v>
      </c>
      <c r="B27" s="44">
        <f>VLOOKUP(A27,'2016 Value'!$B$4:$J$33,9,FALSE)</f>
        <v>750000000</v>
      </c>
      <c r="C27">
        <v>725000000</v>
      </c>
      <c r="D27">
        <v>410000000</v>
      </c>
      <c r="E27">
        <v>315000000</v>
      </c>
      <c r="F27">
        <v>277000000</v>
      </c>
      <c r="G27" t="e">
        <v>#N/A</v>
      </c>
      <c r="H27" t="e">
        <v>#N/A</v>
      </c>
      <c r="I27">
        <v>284000000</v>
      </c>
      <c r="J27">
        <v>287000000</v>
      </c>
      <c r="K27" t="e">
        <v>#N/A</v>
      </c>
      <c r="L27">
        <v>300000000</v>
      </c>
      <c r="N27" t="s">
        <v>317</v>
      </c>
    </row>
    <row r="28" spans="1:14">
      <c r="A28" t="s">
        <v>318</v>
      </c>
      <c r="B28" s="44">
        <f>VLOOKUP(A28,'2016 Value'!$B$4:$J$33,9,FALSE)</f>
        <v>720000000</v>
      </c>
      <c r="C28">
        <f>VLOOKUP(A28,'2015 Value'!$B$4:$I$33,8,FALSE)</f>
        <v>625000000</v>
      </c>
      <c r="D28">
        <f>VLOOKUP(A28,'2014 Value'!$B$5:$I$34,8,FALSE)</f>
        <v>430000000</v>
      </c>
      <c r="E28">
        <f>VLOOKUP(A28,'2013 Value'!$B$4:$I$33,8,0)</f>
        <v>364000000</v>
      </c>
      <c r="F28">
        <f>VLOOKUP(A28,'2012 Value'!$B$4:$J$33,9,0)</f>
        <v>272000000</v>
      </c>
      <c r="G28" t="e">
        <f>VLOOKUP(A28,'2011 Value'!$A$4:$H$33,8,0)</f>
        <v>#N/A</v>
      </c>
      <c r="H28" t="e">
        <f>VLOOKUP(A28,'2010 Value'!$A$5:$J$34,10,0)</f>
        <v>#N/A</v>
      </c>
      <c r="I28">
        <f>VLOOKUP(A28,'2009 Value'!$B$4:$J$33,9,0)</f>
        <v>301000000</v>
      </c>
      <c r="J28">
        <f>VLOOKUP(A28,'2008 Value'!$B$4:$J$33,9,0)</f>
        <v>308000000</v>
      </c>
      <c r="K28" t="e">
        <f>VLOOKUP(A28,'2007 Value'!B32:I61,8,0)</f>
        <v>#N/A</v>
      </c>
      <c r="L28">
        <f>VLOOKUP(A28,'2006 Value'!$B$4:$J$33,9,0)</f>
        <v>303000000</v>
      </c>
    </row>
    <row r="29" spans="1:14">
      <c r="A29" t="s">
        <v>319</v>
      </c>
      <c r="B29" s="44">
        <f>VLOOKUP(A29,'2016 Value'!$B$4:$J$33,9,FALSE)</f>
        <v>700000000</v>
      </c>
      <c r="C29">
        <f>VLOOKUP(A29,'2015 Value'!$B$4:$I$33,8,FALSE)</f>
        <v>700000000</v>
      </c>
      <c r="D29">
        <f>VLOOKUP(A29,'2014 Value'!$B$5:$I$34,8,FALSE)</f>
        <v>469000000</v>
      </c>
      <c r="E29">
        <f>VLOOKUP(A29,'2013 Value'!$B$4:$I$33,8,0)</f>
        <v>418000000</v>
      </c>
      <c r="F29">
        <f>VLOOKUP(A29,'2012 Value'!$B$4:$J$33,9,0)</f>
        <v>314000000</v>
      </c>
      <c r="G29" t="e">
        <f>VLOOKUP(A29,'2011 Value'!$A$4:$H$33,8,0)</f>
        <v>#N/A</v>
      </c>
      <c r="H29" t="e">
        <f>VLOOKUP(A29,'2010 Value'!$A$5:$J$34,10,0)</f>
        <v>#N/A</v>
      </c>
      <c r="I29">
        <f>VLOOKUP(A29,'2009 Value'!$B$4:$J$33,9,0)</f>
        <v>360000000</v>
      </c>
      <c r="J29">
        <f>VLOOKUP(A29,'2008 Value'!$B$4:$J$33,9,0)</f>
        <v>380000000</v>
      </c>
      <c r="K29" t="e">
        <f>VLOOKUP(A29,'2007 Value'!B33:I62,8,0)</f>
        <v>#N/A</v>
      </c>
      <c r="L29">
        <f>VLOOKUP(A29,'2006 Value'!$B$4:$J$33,9,0)</f>
        <v>351000000</v>
      </c>
    </row>
    <row r="30" spans="1:14">
      <c r="A30" t="s">
        <v>320</v>
      </c>
      <c r="B30" s="44">
        <f>VLOOKUP(A30,'2016 Value'!$B$4:$J$33,9,FALSE)</f>
        <v>675000000</v>
      </c>
      <c r="C30">
        <f>VLOOKUP(A30,'2015 Value'!$B$4:$I$33,8,FALSE)</f>
        <v>600000000</v>
      </c>
      <c r="D30">
        <f>VLOOKUP(A30,'2014 Value'!$B$5:$I$34,8,FALSE)</f>
        <v>405000000</v>
      </c>
      <c r="E30">
        <f>VLOOKUP(A30,'2013 Value'!$B$4:$I$33,8,0)</f>
        <v>312000000</v>
      </c>
      <c r="F30">
        <f>VLOOKUP(A30,'2012 Value'!$B$4:$J$33,9,0)</f>
        <v>268000000</v>
      </c>
      <c r="G30" t="e">
        <f>VLOOKUP(A30,'2011 Value'!$A$4:$H$33,8,0)</f>
        <v>#N/A</v>
      </c>
      <c r="H30" t="e">
        <f>VLOOKUP(A30,'2010 Value'!$A$5:$J$34,10,0)</f>
        <v>#N/A</v>
      </c>
      <c r="I30">
        <f>VLOOKUP(A30,'2009 Value'!$B$4:$J$33,9,0)</f>
        <v>278000000</v>
      </c>
      <c r="J30">
        <f>VLOOKUP(A30,'2008 Value'!$B$4:$J$33,9,0)</f>
        <v>264000000</v>
      </c>
      <c r="K30" t="e">
        <f>VLOOKUP(A30,'2007 Value'!B34:I63,8,0)</f>
        <v>#N/A</v>
      </c>
      <c r="L30">
        <f>VLOOKUP(A30,'2006 Value'!$B$4:$J$33,9,0)</f>
        <v>231000000</v>
      </c>
    </row>
    <row r="31" spans="1:14">
      <c r="A31" t="s">
        <v>321</v>
      </c>
      <c r="B31" s="44">
        <f>VLOOKUP(A31,'2016 Value'!$B$4:$J$33,9,FALSE)</f>
        <v>650000000</v>
      </c>
      <c r="C31">
        <f>VLOOKUP(A31,'2015 Value'!$B$4:$I$33,8,FALSE)</f>
        <v>650000000</v>
      </c>
      <c r="D31">
        <f>VLOOKUP(A31,'2014 Value'!$B$5:$I$34,8,FALSE)</f>
        <v>420000000</v>
      </c>
      <c r="E31" t="s">
        <v>48</v>
      </c>
      <c r="F31" t="s">
        <v>48</v>
      </c>
      <c r="G31" t="s">
        <v>48</v>
      </c>
      <c r="H31" t="s">
        <v>48</v>
      </c>
      <c r="I31" t="s">
        <v>48</v>
      </c>
      <c r="J31" t="s">
        <v>48</v>
      </c>
      <c r="K31" t="s">
        <v>48</v>
      </c>
      <c r="L31" t="s">
        <v>48</v>
      </c>
    </row>
    <row r="32" spans="1:14">
      <c r="A32" t="s">
        <v>322</v>
      </c>
      <c r="B32" t="s">
        <v>48</v>
      </c>
      <c r="C32" t="s">
        <v>48</v>
      </c>
      <c r="D32" t="s">
        <v>48</v>
      </c>
      <c r="E32">
        <f>VLOOKUP(A32,'2013 Value'!$B$4:$I$33,8,0)</f>
        <v>340000000</v>
      </c>
      <c r="F32">
        <f>VLOOKUP(A32,'2012 Value'!$B$4:$J$33,9,0)</f>
        <v>285000000</v>
      </c>
      <c r="G32" t="e">
        <f>VLOOKUP(A32,'2011 Value'!$A$4:$H$33,8,0)</f>
        <v>#N/A</v>
      </c>
      <c r="H32" t="e">
        <f>VLOOKUP(A32,'2010 Value'!$A$5:$J$34,10,0)</f>
        <v>#N/A</v>
      </c>
      <c r="I32">
        <f>VLOOKUP(A32,'2009 Value'!$B$4:$J$33,9,0)</f>
        <v>285000000</v>
      </c>
      <c r="J32">
        <f>VLOOKUP(A32,'2008 Value'!$B$4:$J$33,9,0)</f>
        <v>272000000</v>
      </c>
      <c r="K32" t="e">
        <f>VLOOKUP(A32,'2007 Value'!B36:I65,8,0)</f>
        <v>#N/A</v>
      </c>
      <c r="L32">
        <f>VLOOKUP(A32,'2006 Value'!$B$4:$J$33,9,0)</f>
        <v>225000000</v>
      </c>
    </row>
    <row r="33" spans="1:12">
      <c r="A33" t="s">
        <v>323</v>
      </c>
      <c r="B33" s="46">
        <f>SUM(B2:B32)</f>
        <v>37360000000</v>
      </c>
      <c r="C33" s="46">
        <f t="shared" ref="C33:L33" si="0">SUM(C2:C32)</f>
        <v>33185000000</v>
      </c>
      <c r="D33" s="46">
        <f t="shared" si="0"/>
        <v>19029000000</v>
      </c>
      <c r="E33" s="46">
        <f t="shared" si="0"/>
        <v>15271000000</v>
      </c>
      <c r="F33" s="46">
        <f t="shared" si="0"/>
        <v>11776000000</v>
      </c>
      <c r="G33" s="46" t="e">
        <f t="shared" si="0"/>
        <v>#N/A</v>
      </c>
      <c r="H33" s="46" t="e">
        <f t="shared" si="0"/>
        <v>#N/A</v>
      </c>
      <c r="I33" s="46">
        <f t="shared" si="0"/>
        <v>11384000000</v>
      </c>
      <c r="J33" s="46" t="e">
        <f t="shared" si="0"/>
        <v>#N/A</v>
      </c>
      <c r="K33" s="46" t="e">
        <f t="shared" si="0"/>
        <v>#N/A</v>
      </c>
      <c r="L33" s="46" t="e">
        <f t="shared" si="0"/>
        <v>#N/A</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workbookViewId="0"/>
  </sheetViews>
  <sheetFormatPr defaultColWidth="11.19921875" defaultRowHeight="15.6"/>
  <cols>
    <col min="1" max="1" width="3.69921875" customWidth="1"/>
    <col min="2" max="2" width="26.796875" bestFit="1" customWidth="1"/>
    <col min="3" max="3" width="13" bestFit="1" customWidth="1"/>
    <col min="4" max="4" width="14.69921875" customWidth="1"/>
    <col min="5" max="5" width="13" bestFit="1" customWidth="1"/>
    <col min="6" max="6" width="14.296875" style="179" customWidth="1"/>
    <col min="7" max="7" width="12.19921875" bestFit="1" customWidth="1"/>
  </cols>
  <sheetData>
    <row r="1" spans="2:6">
      <c r="B1" s="189" t="s">
        <v>1091</v>
      </c>
    </row>
    <row r="2" spans="2:6">
      <c r="C2" t="s">
        <v>811</v>
      </c>
      <c r="D2" t="s">
        <v>165</v>
      </c>
      <c r="E2" t="s">
        <v>849</v>
      </c>
      <c r="F2" s="179" t="s">
        <v>850</v>
      </c>
    </row>
    <row r="3" spans="2:6">
      <c r="B3" t="s">
        <v>812</v>
      </c>
      <c r="C3">
        <v>35</v>
      </c>
      <c r="D3">
        <v>35</v>
      </c>
      <c r="E3">
        <v>34</v>
      </c>
      <c r="F3" s="179">
        <v>36</v>
      </c>
    </row>
    <row r="4" spans="2:6">
      <c r="B4" t="s">
        <v>813</v>
      </c>
      <c r="C4" t="s">
        <v>845</v>
      </c>
      <c r="D4" t="s">
        <v>868</v>
      </c>
      <c r="E4" t="s">
        <v>865</v>
      </c>
      <c r="F4" s="179" t="s">
        <v>858</v>
      </c>
    </row>
    <row r="5" spans="2:6">
      <c r="B5" t="s">
        <v>814</v>
      </c>
      <c r="C5" t="s">
        <v>846</v>
      </c>
      <c r="D5" t="s">
        <v>869</v>
      </c>
      <c r="E5" t="s">
        <v>491</v>
      </c>
      <c r="F5" s="179" t="s">
        <v>853</v>
      </c>
    </row>
    <row r="6" spans="2:6">
      <c r="B6" t="s">
        <v>852</v>
      </c>
      <c r="C6" t="s">
        <v>24</v>
      </c>
      <c r="D6" t="s">
        <v>492</v>
      </c>
      <c r="E6" t="s">
        <v>500</v>
      </c>
      <c r="F6" s="179" t="s">
        <v>859</v>
      </c>
    </row>
    <row r="7" spans="2:6">
      <c r="B7" t="s">
        <v>851</v>
      </c>
      <c r="C7" t="s">
        <v>24</v>
      </c>
      <c r="D7" t="s">
        <v>492</v>
      </c>
      <c r="E7" t="s">
        <v>500</v>
      </c>
      <c r="F7" s="179" t="s">
        <v>860</v>
      </c>
    </row>
    <row r="8" spans="2:6">
      <c r="B8" t="s">
        <v>872</v>
      </c>
      <c r="C8" t="s">
        <v>873</v>
      </c>
      <c r="D8" t="s">
        <v>874</v>
      </c>
      <c r="E8" t="s">
        <v>875</v>
      </c>
      <c r="F8" s="179" t="s">
        <v>871</v>
      </c>
    </row>
    <row r="9" spans="2:6">
      <c r="B9" t="s">
        <v>854</v>
      </c>
      <c r="C9" t="s">
        <v>861</v>
      </c>
      <c r="D9" t="s">
        <v>870</v>
      </c>
      <c r="E9" t="s">
        <v>866</v>
      </c>
      <c r="F9" s="179" t="s">
        <v>863</v>
      </c>
    </row>
    <row r="10" spans="2:6">
      <c r="B10" t="s">
        <v>855</v>
      </c>
      <c r="C10" t="s">
        <v>862</v>
      </c>
      <c r="D10" t="s">
        <v>871</v>
      </c>
      <c r="E10" t="s">
        <v>867</v>
      </c>
      <c r="F10" s="179" t="s">
        <v>864</v>
      </c>
    </row>
    <row r="11" spans="2:6">
      <c r="B11" t="s">
        <v>847</v>
      </c>
      <c r="C11">
        <v>2</v>
      </c>
      <c r="D11">
        <v>3</v>
      </c>
      <c r="E11">
        <v>5</v>
      </c>
      <c r="F11" s="179">
        <v>1</v>
      </c>
    </row>
    <row r="12" spans="2:6">
      <c r="B12" t="s">
        <v>848</v>
      </c>
      <c r="C12">
        <v>4.9000000000000004</v>
      </c>
      <c r="D12">
        <v>3.8</v>
      </c>
      <c r="E12">
        <v>4.9000000000000004</v>
      </c>
      <c r="F12" s="179">
        <v>7.2</v>
      </c>
    </row>
    <row r="13" spans="2:6">
      <c r="B13" t="s">
        <v>856</v>
      </c>
      <c r="C13" t="s">
        <v>48</v>
      </c>
      <c r="D13">
        <v>2.9</v>
      </c>
      <c r="E13">
        <v>7.8</v>
      </c>
      <c r="F13" s="179">
        <v>5.2</v>
      </c>
    </row>
    <row r="14" spans="2:6">
      <c r="B14" t="s">
        <v>857</v>
      </c>
      <c r="C14" t="s">
        <v>48</v>
      </c>
      <c r="D14">
        <v>6</v>
      </c>
      <c r="E14">
        <v>5.0999999999999996</v>
      </c>
      <c r="F14" s="179">
        <v>5.5</v>
      </c>
    </row>
    <row r="16" spans="2:6" ht="93.6">
      <c r="B16" t="s">
        <v>1079</v>
      </c>
      <c r="C16" t="s">
        <v>48</v>
      </c>
      <c r="D16" s="1" t="s">
        <v>1082</v>
      </c>
      <c r="E16" s="1" t="s">
        <v>1080</v>
      </c>
      <c r="F16" s="180" t="s">
        <v>1081</v>
      </c>
    </row>
    <row r="18" spans="2:6">
      <c r="B18" t="s">
        <v>833</v>
      </c>
      <c r="C18" t="e">
        <f>(C32-C31)/C31</f>
        <v>#VALUE!</v>
      </c>
      <c r="D18" t="e">
        <f t="shared" ref="D18:F18" si="0">(D32-D31)/D31</f>
        <v>#VALUE!</v>
      </c>
      <c r="E18" t="e">
        <f t="shared" si="0"/>
        <v>#VALUE!</v>
      </c>
      <c r="F18" s="179" t="e">
        <f t="shared" si="0"/>
        <v>#VALUE!</v>
      </c>
    </row>
    <row r="19" spans="2:6">
      <c r="B19" t="s">
        <v>834</v>
      </c>
      <c r="C19" t="e">
        <f t="shared" ref="C19:F19" si="1">(C33-C32)/C32</f>
        <v>#VALUE!</v>
      </c>
      <c r="D19" t="e">
        <f t="shared" si="1"/>
        <v>#VALUE!</v>
      </c>
      <c r="E19" t="e">
        <f t="shared" si="1"/>
        <v>#VALUE!</v>
      </c>
      <c r="F19" s="179" t="e">
        <f t="shared" si="1"/>
        <v>#VALUE!</v>
      </c>
    </row>
    <row r="20" spans="2:6">
      <c r="B20" t="s">
        <v>835</v>
      </c>
      <c r="C20" t="e">
        <f>(C35-C34)/C34</f>
        <v>#VALUE!</v>
      </c>
      <c r="D20" t="e">
        <f t="shared" ref="D20:F20" si="2">(D35-D34)/D34</f>
        <v>#VALUE!</v>
      </c>
      <c r="E20" t="e">
        <f t="shared" si="2"/>
        <v>#VALUE!</v>
      </c>
      <c r="F20" s="179" t="e">
        <f t="shared" si="2"/>
        <v>#VALUE!</v>
      </c>
    </row>
    <row r="21" spans="2:6">
      <c r="B21" t="s">
        <v>836</v>
      </c>
      <c r="C21" t="e">
        <f>(C36-C35)/C35</f>
        <v>#VALUE!</v>
      </c>
      <c r="D21" t="e">
        <f t="shared" ref="D21:F21" si="3">(D36-D35)/D35</f>
        <v>#VALUE!</v>
      </c>
      <c r="E21" t="e">
        <f t="shared" si="3"/>
        <v>#VALUE!</v>
      </c>
      <c r="F21" s="179" t="e">
        <f t="shared" si="3"/>
        <v>#VALUE!</v>
      </c>
    </row>
    <row r="22" spans="2:6">
      <c r="B22" t="s">
        <v>837</v>
      </c>
      <c r="C22" t="e">
        <f>(C38-C37)/C37</f>
        <v>#VALUE!</v>
      </c>
      <c r="D22" t="e">
        <f t="shared" ref="D22:F22" si="4">(D38-D37)/D37</f>
        <v>#VALUE!</v>
      </c>
      <c r="E22" t="e">
        <f t="shared" si="4"/>
        <v>#VALUE!</v>
      </c>
      <c r="F22" s="179" t="e">
        <f t="shared" si="4"/>
        <v>#VALUE!</v>
      </c>
    </row>
    <row r="23" spans="2:6">
      <c r="B23" t="s">
        <v>838</v>
      </c>
      <c r="C23" t="e">
        <f t="shared" ref="C23:F23" si="5">(C39-C38)/C38</f>
        <v>#VALUE!</v>
      </c>
      <c r="D23" t="e">
        <f t="shared" si="5"/>
        <v>#VALUE!</v>
      </c>
      <c r="E23" t="e">
        <f t="shared" si="5"/>
        <v>#VALUE!</v>
      </c>
      <c r="F23" s="179" t="e">
        <f t="shared" si="5"/>
        <v>#VALUE!</v>
      </c>
    </row>
    <row r="24" spans="2:6">
      <c r="B24" t="s">
        <v>839</v>
      </c>
      <c r="C24" t="e">
        <f>(C41-C40)/C40</f>
        <v>#VALUE!</v>
      </c>
      <c r="D24" t="e">
        <f t="shared" ref="D24:F24" si="6">(D41-D40)/D40</f>
        <v>#VALUE!</v>
      </c>
      <c r="E24" t="e">
        <f t="shared" si="6"/>
        <v>#VALUE!</v>
      </c>
      <c r="F24" s="179" t="e">
        <f t="shared" si="6"/>
        <v>#VALUE!</v>
      </c>
    </row>
    <row r="25" spans="2:6">
      <c r="B25" t="s">
        <v>840</v>
      </c>
      <c r="C25" t="e">
        <f t="shared" ref="C25:F25" si="7">(C42-C41)/C41</f>
        <v>#VALUE!</v>
      </c>
      <c r="D25" t="e">
        <f t="shared" si="7"/>
        <v>#VALUE!</v>
      </c>
      <c r="E25" t="e">
        <f t="shared" si="7"/>
        <v>#VALUE!</v>
      </c>
      <c r="F25" s="179" t="e">
        <f t="shared" si="7"/>
        <v>#VALUE!</v>
      </c>
    </row>
    <row r="26" spans="2:6">
      <c r="B26" t="s">
        <v>841</v>
      </c>
      <c r="C26" t="e">
        <f>(C44-C43)/C43</f>
        <v>#VALUE!</v>
      </c>
      <c r="D26" t="e">
        <f t="shared" ref="D26:F26" si="8">(D44-D43)/D43</f>
        <v>#VALUE!</v>
      </c>
      <c r="E26" t="e">
        <f t="shared" si="8"/>
        <v>#VALUE!</v>
      </c>
      <c r="F26" s="179" t="e">
        <f t="shared" si="8"/>
        <v>#VALUE!</v>
      </c>
    </row>
    <row r="27" spans="2:6">
      <c r="B27" t="s">
        <v>842</v>
      </c>
      <c r="C27" t="e">
        <f t="shared" ref="C27:F27" si="9">(C45-C44)/C44</f>
        <v>#VALUE!</v>
      </c>
      <c r="D27" t="e">
        <f t="shared" si="9"/>
        <v>#VALUE!</v>
      </c>
      <c r="E27" t="e">
        <f t="shared" si="9"/>
        <v>#VALUE!</v>
      </c>
      <c r="F27" s="179" t="e">
        <f t="shared" si="9"/>
        <v>#VALUE!</v>
      </c>
    </row>
    <row r="28" spans="2:6">
      <c r="B28" t="s">
        <v>843</v>
      </c>
      <c r="C28" t="e">
        <f>(C47-C46)/C46</f>
        <v>#VALUE!</v>
      </c>
      <c r="D28" t="e">
        <f t="shared" ref="D28:F28" si="10">(D47-D46)/D46</f>
        <v>#VALUE!</v>
      </c>
      <c r="E28" t="e">
        <f t="shared" si="10"/>
        <v>#VALUE!</v>
      </c>
      <c r="F28" s="179" t="e">
        <f t="shared" si="10"/>
        <v>#VALUE!</v>
      </c>
    </row>
    <row r="29" spans="2:6">
      <c r="B29" t="s">
        <v>844</v>
      </c>
      <c r="C29" t="e">
        <f>(C48-C47)/C47</f>
        <v>#VALUE!</v>
      </c>
      <c r="D29" t="e">
        <f t="shared" ref="D29:F29" si="11">(D48-D47)/D47</f>
        <v>#VALUE!</v>
      </c>
      <c r="E29" t="e">
        <f t="shared" si="11"/>
        <v>#VALUE!</v>
      </c>
      <c r="F29" s="179" t="e">
        <f t="shared" si="11"/>
        <v>#VALUE!</v>
      </c>
    </row>
    <row r="31" spans="2:6">
      <c r="B31" t="s">
        <v>821</v>
      </c>
      <c r="C31" t="s">
        <v>48</v>
      </c>
      <c r="D31" t="s">
        <v>48</v>
      </c>
      <c r="E31" t="s">
        <v>48</v>
      </c>
      <c r="F31" t="s">
        <v>48</v>
      </c>
    </row>
    <row r="32" spans="2:6">
      <c r="B32" t="s">
        <v>815</v>
      </c>
      <c r="C32" t="s">
        <v>48</v>
      </c>
      <c r="D32" t="s">
        <v>48</v>
      </c>
      <c r="E32" t="s">
        <v>48</v>
      </c>
      <c r="F32" t="s">
        <v>48</v>
      </c>
    </row>
    <row r="33" spans="2:6">
      <c r="B33" t="s">
        <v>816</v>
      </c>
      <c r="C33" t="s">
        <v>48</v>
      </c>
      <c r="D33" t="s">
        <v>48</v>
      </c>
      <c r="E33" t="s">
        <v>48</v>
      </c>
      <c r="F33" t="s">
        <v>48</v>
      </c>
    </row>
    <row r="34" spans="2:6">
      <c r="B34" t="s">
        <v>822</v>
      </c>
      <c r="C34" t="s">
        <v>48</v>
      </c>
      <c r="D34" t="s">
        <v>48</v>
      </c>
      <c r="E34" t="s">
        <v>48</v>
      </c>
      <c r="F34" t="s">
        <v>48</v>
      </c>
    </row>
    <row r="35" spans="2:6">
      <c r="B35" t="s">
        <v>817</v>
      </c>
      <c r="C35" t="s">
        <v>48</v>
      </c>
      <c r="D35" t="s">
        <v>48</v>
      </c>
      <c r="E35" t="s">
        <v>48</v>
      </c>
      <c r="F35" t="s">
        <v>48</v>
      </c>
    </row>
    <row r="36" spans="2:6">
      <c r="B36" t="s">
        <v>818</v>
      </c>
      <c r="C36" t="s">
        <v>48</v>
      </c>
      <c r="D36" t="s">
        <v>48</v>
      </c>
      <c r="E36" t="s">
        <v>48</v>
      </c>
      <c r="F36" t="s">
        <v>48</v>
      </c>
    </row>
    <row r="37" spans="2:6">
      <c r="B37" t="s">
        <v>823</v>
      </c>
      <c r="C37" t="s">
        <v>48</v>
      </c>
      <c r="D37" t="s">
        <v>48</v>
      </c>
      <c r="E37" t="s">
        <v>48</v>
      </c>
      <c r="F37" t="s">
        <v>48</v>
      </c>
    </row>
    <row r="38" spans="2:6">
      <c r="B38" t="s">
        <v>819</v>
      </c>
      <c r="C38" t="s">
        <v>48</v>
      </c>
      <c r="D38" t="s">
        <v>48</v>
      </c>
      <c r="E38" t="s">
        <v>48</v>
      </c>
      <c r="F38" t="s">
        <v>48</v>
      </c>
    </row>
    <row r="39" spans="2:6">
      <c r="B39" t="s">
        <v>820</v>
      </c>
      <c r="C39" t="s">
        <v>48</v>
      </c>
      <c r="D39" t="s">
        <v>48</v>
      </c>
      <c r="E39" t="s">
        <v>48</v>
      </c>
      <c r="F39" t="s">
        <v>48</v>
      </c>
    </row>
    <row r="40" spans="2:6">
      <c r="B40" t="s">
        <v>824</v>
      </c>
      <c r="C40" t="s">
        <v>48</v>
      </c>
      <c r="D40" t="s">
        <v>48</v>
      </c>
      <c r="E40" t="s">
        <v>48</v>
      </c>
      <c r="F40" t="s">
        <v>48</v>
      </c>
    </row>
    <row r="41" spans="2:6">
      <c r="B41" t="s">
        <v>825</v>
      </c>
      <c r="C41" t="s">
        <v>48</v>
      </c>
      <c r="D41" t="s">
        <v>48</v>
      </c>
      <c r="E41" t="s">
        <v>48</v>
      </c>
      <c r="F41" t="s">
        <v>48</v>
      </c>
    </row>
    <row r="42" spans="2:6">
      <c r="B42" t="s">
        <v>826</v>
      </c>
      <c r="C42" t="s">
        <v>48</v>
      </c>
      <c r="D42" t="s">
        <v>48</v>
      </c>
      <c r="E42" t="s">
        <v>48</v>
      </c>
      <c r="F42" t="s">
        <v>48</v>
      </c>
    </row>
    <row r="43" spans="2:6">
      <c r="B43" t="s">
        <v>827</v>
      </c>
      <c r="C43" t="s">
        <v>48</v>
      </c>
      <c r="D43" t="s">
        <v>48</v>
      </c>
      <c r="E43" t="s">
        <v>48</v>
      </c>
      <c r="F43" t="s">
        <v>48</v>
      </c>
    </row>
    <row r="44" spans="2:6">
      <c r="B44" t="s">
        <v>828</v>
      </c>
      <c r="C44" t="s">
        <v>48</v>
      </c>
      <c r="D44" t="s">
        <v>48</v>
      </c>
      <c r="E44" t="s">
        <v>48</v>
      </c>
      <c r="F44" t="s">
        <v>48</v>
      </c>
    </row>
    <row r="45" spans="2:6">
      <c r="B45" t="s">
        <v>829</v>
      </c>
      <c r="C45" t="s">
        <v>48</v>
      </c>
      <c r="D45" t="s">
        <v>48</v>
      </c>
      <c r="E45" t="s">
        <v>48</v>
      </c>
      <c r="F45" t="s">
        <v>48</v>
      </c>
    </row>
    <row r="46" spans="2:6">
      <c r="B46" t="s">
        <v>830</v>
      </c>
      <c r="C46" t="s">
        <v>48</v>
      </c>
      <c r="D46" t="s">
        <v>48</v>
      </c>
      <c r="E46" t="s">
        <v>48</v>
      </c>
      <c r="F46" t="s">
        <v>48</v>
      </c>
    </row>
    <row r="47" spans="2:6">
      <c r="B47" t="s">
        <v>831</v>
      </c>
      <c r="C47" t="s">
        <v>48</v>
      </c>
      <c r="D47" t="s">
        <v>48</v>
      </c>
      <c r="E47" t="s">
        <v>48</v>
      </c>
      <c r="F47" t="s">
        <v>48</v>
      </c>
    </row>
    <row r="48" spans="2:6">
      <c r="B48" t="s">
        <v>832</v>
      </c>
      <c r="C48" t="s">
        <v>48</v>
      </c>
      <c r="D48" t="s">
        <v>48</v>
      </c>
      <c r="E48" t="s">
        <v>48</v>
      </c>
      <c r="F48" t="s">
        <v>48</v>
      </c>
    </row>
    <row r="50" spans="2:2">
      <c r="B50" s="189" t="s">
        <v>1102</v>
      </c>
    </row>
    <row r="51" spans="2:2">
      <c r="B51" t="s">
        <v>1103</v>
      </c>
    </row>
    <row r="52" spans="2:2">
      <c r="B52" s="18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ColWidth="11.19921875" defaultRowHeight="15.6"/>
  <cols>
    <col min="9" max="9" width="12.296875" bestFit="1" customWidth="1"/>
    <col min="10" max="10" width="17.296875" bestFit="1" customWidth="1"/>
    <col min="12" max="12" width="16.69921875" bestFit="1" customWidth="1"/>
    <col min="14" max="14" width="16.19921875" bestFit="1" customWidth="1"/>
  </cols>
  <sheetData>
    <row r="1" spans="1:14">
      <c r="A1" t="s">
        <v>324</v>
      </c>
    </row>
    <row r="3" spans="1:14">
      <c r="A3" s="47" t="s">
        <v>225</v>
      </c>
      <c r="B3" s="47" t="s">
        <v>325</v>
      </c>
      <c r="C3" s="47" t="s">
        <v>326</v>
      </c>
      <c r="D3" s="47" t="s">
        <v>327</v>
      </c>
      <c r="E3" s="47" t="s">
        <v>328</v>
      </c>
      <c r="F3" s="47" t="s">
        <v>7</v>
      </c>
      <c r="G3" s="47" t="s">
        <v>329</v>
      </c>
      <c r="I3" s="47" t="s">
        <v>326</v>
      </c>
    </row>
    <row r="4" spans="1:14" ht="30">
      <c r="A4" s="48" t="s">
        <v>330</v>
      </c>
      <c r="B4" t="s">
        <v>291</v>
      </c>
      <c r="C4" s="49" t="s">
        <v>331</v>
      </c>
      <c r="D4" s="50">
        <v>0.2</v>
      </c>
      <c r="E4" s="50">
        <v>0</v>
      </c>
      <c r="F4" s="49" t="s">
        <v>332</v>
      </c>
      <c r="G4" s="49" t="s">
        <v>333</v>
      </c>
      <c r="I4" s="8" t="str">
        <f>LEFT(C4,LEN(C4)-2)</f>
        <v>$3</v>
      </c>
      <c r="J4" s="51">
        <f>IF(RIGHT(C4,1)="B",I4*'2016 Value'!$L$4,IF(RIGHT(C4,1)="M",I4*'2016 Value'!$L$5,"ERROR"))</f>
        <v>3000000000</v>
      </c>
      <c r="K4" t="s">
        <v>334</v>
      </c>
      <c r="L4" s="45">
        <v>1000000000</v>
      </c>
      <c r="N4" s="36">
        <f>LEFT(F4,4)*1000000</f>
        <v>307000000</v>
      </c>
    </row>
    <row r="5" spans="1:14" ht="30">
      <c r="A5" s="48" t="s">
        <v>335</v>
      </c>
      <c r="B5" t="s">
        <v>292</v>
      </c>
      <c r="C5" s="49" t="s">
        <v>336</v>
      </c>
      <c r="D5" s="50">
        <v>0.04</v>
      </c>
      <c r="E5" s="50">
        <v>0.01</v>
      </c>
      <c r="F5" s="49" t="s">
        <v>337</v>
      </c>
      <c r="G5" s="49" t="s">
        <v>338</v>
      </c>
      <c r="I5" s="8" t="str">
        <f t="shared" ref="I5:I33" si="0">LEFT(C5,LEN(C5)-2)</f>
        <v>$2.7</v>
      </c>
      <c r="J5" s="51">
        <f>IF(RIGHT(C5,1)="B",I5*'2016 Value'!$L$4,IF(RIGHT(C5,1)="M",I5*'2016 Value'!$L$5,"ERROR"))</f>
        <v>2700000000</v>
      </c>
      <c r="K5" t="s">
        <v>339</v>
      </c>
      <c r="L5" s="45">
        <v>1000000</v>
      </c>
      <c r="N5" s="36">
        <f t="shared" ref="N5:N33" si="1">LEFT(F5,4)*1000000</f>
        <v>304000000</v>
      </c>
    </row>
    <row r="6" spans="1:14" ht="30">
      <c r="A6" s="48" t="s">
        <v>340</v>
      </c>
      <c r="B6" t="s">
        <v>293</v>
      </c>
      <c r="C6" s="49" t="s">
        <v>341</v>
      </c>
      <c r="D6" s="50">
        <v>0.15</v>
      </c>
      <c r="E6" s="50">
        <v>0.02</v>
      </c>
      <c r="F6" s="49" t="s">
        <v>342</v>
      </c>
      <c r="G6" s="49" t="s">
        <v>343</v>
      </c>
      <c r="I6" s="8" t="str">
        <f t="shared" si="0"/>
        <v>$2.3</v>
      </c>
      <c r="J6" s="51">
        <f>IF(RIGHT(C6,1)="B",I6*'2016 Value'!$L$4,IF(RIGHT(C6,1)="M",I6*'2016 Value'!$L$5,"ERROR"))</f>
        <v>2300000000</v>
      </c>
      <c r="N6" s="36">
        <f t="shared" si="1"/>
        <v>228000000</v>
      </c>
    </row>
    <row r="7" spans="1:14" ht="30">
      <c r="A7" s="48" t="s">
        <v>344</v>
      </c>
      <c r="B7" t="s">
        <v>294</v>
      </c>
      <c r="C7" s="49" t="s">
        <v>345</v>
      </c>
      <c r="D7" s="50">
        <v>0.24</v>
      </c>
      <c r="E7" s="50">
        <v>0.08</v>
      </c>
      <c r="F7" s="49" t="s">
        <v>346</v>
      </c>
      <c r="G7" s="49" t="s">
        <v>347</v>
      </c>
      <c r="I7" s="8" t="str">
        <f t="shared" si="0"/>
        <v>$2.1</v>
      </c>
      <c r="J7" s="51">
        <f>IF(RIGHT(C7,1)="B",I7*'2016 Value'!$L$4,IF(RIGHT(C7,1)="M",I7*'2016 Value'!$L$5,"ERROR"))</f>
        <v>2100000000</v>
      </c>
      <c r="N7" s="36">
        <f t="shared" si="1"/>
        <v>181000000</v>
      </c>
    </row>
    <row r="8" spans="1:14" ht="30">
      <c r="A8" s="48" t="s">
        <v>348</v>
      </c>
      <c r="B8" t="s">
        <v>295</v>
      </c>
      <c r="C8" s="49" t="s">
        <v>349</v>
      </c>
      <c r="D8" s="50">
        <v>0.25</v>
      </c>
      <c r="E8" s="50">
        <v>0</v>
      </c>
      <c r="F8" s="49" t="s">
        <v>350</v>
      </c>
      <c r="G8" s="49" t="s">
        <v>351</v>
      </c>
      <c r="I8" s="8" t="str">
        <f t="shared" si="0"/>
        <v>$2</v>
      </c>
      <c r="J8" s="51">
        <f>IF(RIGHT(C8,1)="B",I8*'2016 Value'!$L$4,IF(RIGHT(C8,1)="M",I8*'2016 Value'!$L$5,"ERROR"))</f>
        <v>2000000000</v>
      </c>
      <c r="N8" s="36">
        <f t="shared" si="1"/>
        <v>176000000</v>
      </c>
    </row>
    <row r="9" spans="1:14" ht="30">
      <c r="A9" s="48" t="s">
        <v>352</v>
      </c>
      <c r="B9" t="s">
        <v>296</v>
      </c>
      <c r="C9" s="49" t="s">
        <v>353</v>
      </c>
      <c r="D9" s="50">
        <v>0.46</v>
      </c>
      <c r="E9" s="50">
        <v>0.13</v>
      </c>
      <c r="F9" s="49" t="s">
        <v>354</v>
      </c>
      <c r="G9" s="49" t="s">
        <v>355</v>
      </c>
      <c r="I9" s="8" t="str">
        <f t="shared" si="0"/>
        <v>$1.9</v>
      </c>
      <c r="J9" s="51">
        <f>IF(RIGHT(C9,1)="B",I9*'2016 Value'!$L$4,IF(RIGHT(C9,1)="M",I9*'2016 Value'!$L$5,"ERROR"))</f>
        <v>1900000000</v>
      </c>
      <c r="N9" s="36">
        <f t="shared" si="1"/>
        <v>201000000</v>
      </c>
    </row>
    <row r="10" spans="1:14" ht="30">
      <c r="A10" s="48" t="s">
        <v>356</v>
      </c>
      <c r="B10" t="s">
        <v>297</v>
      </c>
      <c r="C10" s="49" t="s">
        <v>357</v>
      </c>
      <c r="D10" s="50">
        <v>0.13</v>
      </c>
      <c r="E10" s="50">
        <v>0.15</v>
      </c>
      <c r="F10" s="49" t="s">
        <v>358</v>
      </c>
      <c r="G10" s="49" t="s">
        <v>359</v>
      </c>
      <c r="I10" s="8" t="str">
        <f t="shared" si="0"/>
        <v>$1.7</v>
      </c>
      <c r="J10" s="51">
        <f>IF(RIGHT(C10,1)="B",I10*'2016 Value'!$L$4,IF(RIGHT(C10,1)="M",I10*'2016 Value'!$L$5,"ERROR"))</f>
        <v>1700000000</v>
      </c>
      <c r="N10" s="36">
        <f t="shared" si="1"/>
        <v>220000000</v>
      </c>
    </row>
    <row r="11" spans="1:14" ht="30">
      <c r="A11" s="48" t="s">
        <v>360</v>
      </c>
      <c r="B11" t="s">
        <v>299</v>
      </c>
      <c r="C11" s="49" t="s">
        <v>361</v>
      </c>
      <c r="D11" s="50">
        <v>0.2</v>
      </c>
      <c r="E11" s="50">
        <v>7.0000000000000007E-2</v>
      </c>
      <c r="F11" s="49" t="s">
        <v>362</v>
      </c>
      <c r="G11" s="49" t="s">
        <v>363</v>
      </c>
      <c r="I11" s="8" t="str">
        <f t="shared" si="0"/>
        <v>$1.5</v>
      </c>
      <c r="J11" s="51">
        <f>IF(RIGHT(C11,1)="B",I11*'2016 Value'!$L$4,IF(RIGHT(C11,1)="M",I11*'2016 Value'!$L$5,"ERROR"))</f>
        <v>1500000000</v>
      </c>
      <c r="N11" s="36">
        <f t="shared" si="1"/>
        <v>237000000</v>
      </c>
    </row>
    <row r="12" spans="1:14" ht="30">
      <c r="A12" s="48" t="s">
        <v>364</v>
      </c>
      <c r="B12" t="s">
        <v>300</v>
      </c>
      <c r="C12" s="49" t="s">
        <v>365</v>
      </c>
      <c r="D12" s="50">
        <v>0.22</v>
      </c>
      <c r="E12" s="50">
        <v>0.08</v>
      </c>
      <c r="F12" s="49" t="s">
        <v>366</v>
      </c>
      <c r="G12" s="49" t="s">
        <v>367</v>
      </c>
      <c r="I12" s="8" t="str">
        <f t="shared" si="0"/>
        <v>$1.4</v>
      </c>
      <c r="J12" s="51">
        <f>IF(RIGHT(C12,1)="B",I12*'2016 Value'!$L$4,IF(RIGHT(C12,1)="M",I12*'2016 Value'!$L$5,"ERROR"))</f>
        <v>1400000000</v>
      </c>
      <c r="N12" s="36">
        <f t="shared" si="1"/>
        <v>177000000</v>
      </c>
    </row>
    <row r="13" spans="1:14" ht="30">
      <c r="A13" s="48" t="s">
        <v>368</v>
      </c>
      <c r="B13" t="s">
        <v>301</v>
      </c>
      <c r="C13" s="49" t="s">
        <v>369</v>
      </c>
      <c r="D13" s="50">
        <v>0.11</v>
      </c>
      <c r="E13" s="50">
        <v>7.0000000000000007E-2</v>
      </c>
      <c r="F13" s="49" t="s">
        <v>370</v>
      </c>
      <c r="G13" s="49" t="s">
        <v>371</v>
      </c>
      <c r="I13" s="8" t="str">
        <f t="shared" si="0"/>
        <v>$1.3</v>
      </c>
      <c r="J13" s="51">
        <f>IF(RIGHT(C13,1)="B",I13*'2016 Value'!$L$4,IF(RIGHT(C13,1)="M",I13*'2016 Value'!$L$5,"ERROR"))</f>
        <v>1300000000</v>
      </c>
      <c r="N13" s="36">
        <f t="shared" si="1"/>
        <v>180000000</v>
      </c>
    </row>
    <row r="14" spans="1:14" ht="30">
      <c r="A14" s="48" t="s">
        <v>372</v>
      </c>
      <c r="B14" t="s">
        <v>302</v>
      </c>
      <c r="C14" s="49" t="s">
        <v>373</v>
      </c>
      <c r="D14" s="50">
        <v>0.15</v>
      </c>
      <c r="E14" s="50">
        <v>7.0000000000000007E-2</v>
      </c>
      <c r="F14" s="49" t="s">
        <v>374</v>
      </c>
      <c r="G14" s="49" t="s">
        <v>375</v>
      </c>
      <c r="I14" s="8" t="str">
        <f t="shared" si="0"/>
        <v>$1.15</v>
      </c>
      <c r="J14" s="51">
        <f>IF(RIGHT(C14,1)="B",I14*'2016 Value'!$L$4,IF(RIGHT(C14,1)="M",I14*'2016 Value'!$L$5,"ERROR"))</f>
        <v>1150000000</v>
      </c>
      <c r="N14" s="36">
        <f t="shared" si="1"/>
        <v>170000000</v>
      </c>
    </row>
    <row r="15" spans="1:14" ht="30">
      <c r="A15" s="48" t="s">
        <v>376</v>
      </c>
      <c r="B15" t="s">
        <v>303</v>
      </c>
      <c r="C15" s="49" t="s">
        <v>377</v>
      </c>
      <c r="D15" s="50">
        <v>0.2</v>
      </c>
      <c r="E15" s="50">
        <v>0.18</v>
      </c>
      <c r="F15" s="49" t="s">
        <v>378</v>
      </c>
      <c r="G15" s="49" t="s">
        <v>379</v>
      </c>
      <c r="I15" s="8" t="str">
        <f t="shared" si="0"/>
        <v>$1.1</v>
      </c>
      <c r="J15" s="51">
        <f>IF(RIGHT(C15,1)="B",I15*'2016 Value'!$L$4,IF(RIGHT(C15,1)="M",I15*'2016 Value'!$L$5,"ERROR"))</f>
        <v>1100000000</v>
      </c>
      <c r="N15" s="36">
        <f t="shared" si="1"/>
        <v>191000000</v>
      </c>
    </row>
    <row r="16" spans="1:14" ht="30">
      <c r="A16" s="48" t="s">
        <v>380</v>
      </c>
      <c r="B16" t="s">
        <v>304</v>
      </c>
      <c r="C16" s="49" t="s">
        <v>381</v>
      </c>
      <c r="D16" s="50">
        <v>0.1</v>
      </c>
      <c r="E16" s="50">
        <v>0.18</v>
      </c>
      <c r="F16" s="49" t="s">
        <v>382</v>
      </c>
      <c r="G16" s="49" t="s">
        <v>383</v>
      </c>
      <c r="I16" s="8" t="str">
        <f t="shared" si="0"/>
        <v>$1</v>
      </c>
      <c r="J16" s="51">
        <f>IF(RIGHT(C16,1)="B",I16*'2016 Value'!$L$4,IF(RIGHT(C16,1)="M",I16*'2016 Value'!$L$5,"ERROR"))</f>
        <v>1000000000</v>
      </c>
      <c r="N16" s="36">
        <f t="shared" si="1"/>
        <v>154000000</v>
      </c>
    </row>
    <row r="17" spans="1:14" ht="30">
      <c r="A17" s="48" t="s">
        <v>384</v>
      </c>
      <c r="B17" t="s">
        <v>305</v>
      </c>
      <c r="C17" s="49" t="s">
        <v>385</v>
      </c>
      <c r="D17" s="50">
        <v>7.0000000000000007E-2</v>
      </c>
      <c r="E17" s="50">
        <v>0.12</v>
      </c>
      <c r="F17" s="49" t="s">
        <v>386</v>
      </c>
      <c r="G17" s="49" t="s">
        <v>387</v>
      </c>
      <c r="I17" s="8" t="str">
        <f t="shared" si="0"/>
        <v>$980</v>
      </c>
      <c r="J17" s="51">
        <f>IF(RIGHT(C17,1)="B",I17*'2016 Value'!$L$4,IF(RIGHT(C17,1)="M",I17*'2016 Value'!$L$5,"ERROR"))</f>
        <v>980000000</v>
      </c>
      <c r="N17" s="36">
        <f t="shared" si="1"/>
        <v>163000000</v>
      </c>
    </row>
    <row r="18" spans="1:14" ht="30">
      <c r="A18" s="48" t="s">
        <v>388</v>
      </c>
      <c r="B18" t="s">
        <v>306</v>
      </c>
      <c r="C18" s="49" t="s">
        <v>389</v>
      </c>
      <c r="D18" s="50">
        <v>0.04</v>
      </c>
      <c r="E18" s="50">
        <v>0.11</v>
      </c>
      <c r="F18" s="49" t="s">
        <v>390</v>
      </c>
      <c r="G18" s="49" t="s">
        <v>391</v>
      </c>
      <c r="I18" s="8" t="str">
        <f t="shared" si="0"/>
        <v>$975</v>
      </c>
      <c r="J18" s="51">
        <f>IF(RIGHT(C18,1)="B",I18*'2016 Value'!$L$4,IF(RIGHT(C18,1)="M",I18*'2016 Value'!$L$5,"ERROR"))</f>
        <v>975000000</v>
      </c>
      <c r="N18" s="36">
        <f t="shared" si="1"/>
        <v>157000000</v>
      </c>
    </row>
    <row r="19" spans="1:14" ht="30">
      <c r="A19" s="48" t="s">
        <v>392</v>
      </c>
      <c r="B19" t="s">
        <v>307</v>
      </c>
      <c r="C19" s="49" t="s">
        <v>393</v>
      </c>
      <c r="D19" s="50">
        <v>7.0000000000000007E-2</v>
      </c>
      <c r="E19" s="50">
        <v>0.14000000000000001</v>
      </c>
      <c r="F19" s="49" t="s">
        <v>394</v>
      </c>
      <c r="G19" s="49" t="s">
        <v>395</v>
      </c>
      <c r="I19" s="8" t="str">
        <f t="shared" si="0"/>
        <v>$960</v>
      </c>
      <c r="J19" s="51">
        <f>IF(RIGHT(C19,1)="B",I19*'2016 Value'!$L$4,IF(RIGHT(C19,1)="M",I19*'2016 Value'!$L$5,"ERROR"))</f>
        <v>960000000</v>
      </c>
      <c r="N19" s="36">
        <f t="shared" si="1"/>
        <v>146000000</v>
      </c>
    </row>
    <row r="20" spans="1:14" ht="30">
      <c r="A20" s="48" t="s">
        <v>396</v>
      </c>
      <c r="B20" t="s">
        <v>77</v>
      </c>
      <c r="C20" s="49" t="s">
        <v>397</v>
      </c>
      <c r="D20" s="50">
        <v>0.02</v>
      </c>
      <c r="E20" s="50">
        <v>0.15</v>
      </c>
      <c r="F20" s="49" t="s">
        <v>390</v>
      </c>
      <c r="G20" s="49" t="s">
        <v>398</v>
      </c>
      <c r="I20" s="8" t="str">
        <f t="shared" si="0"/>
        <v>$950</v>
      </c>
      <c r="J20" s="51">
        <f>IF(RIGHT(C20,1)="B",I20*'2016 Value'!$L$4,IF(RIGHT(C20,1)="M",I20*'2016 Value'!$L$5,"ERROR"))</f>
        <v>950000000</v>
      </c>
      <c r="N20" s="36">
        <f t="shared" si="1"/>
        <v>157000000</v>
      </c>
    </row>
    <row r="21" spans="1:14" ht="30">
      <c r="A21" s="48" t="s">
        <v>399</v>
      </c>
      <c r="B21" t="s">
        <v>308</v>
      </c>
      <c r="C21" s="49" t="s">
        <v>400</v>
      </c>
      <c r="D21" s="50">
        <v>0.16</v>
      </c>
      <c r="E21" s="50">
        <v>0.25</v>
      </c>
      <c r="F21" s="49" t="s">
        <v>401</v>
      </c>
      <c r="G21" s="49" t="s">
        <v>402</v>
      </c>
      <c r="I21" s="8" t="str">
        <f t="shared" si="0"/>
        <v>$925</v>
      </c>
      <c r="J21" s="51">
        <f>IF(RIGHT(C21,1)="B",I21*'2016 Value'!$L$4,IF(RIGHT(C21,1)="M",I21*'2016 Value'!$L$5,"ERROR"))</f>
        <v>925000000</v>
      </c>
      <c r="N21" s="36">
        <f t="shared" si="1"/>
        <v>141000000</v>
      </c>
    </row>
    <row r="22" spans="1:14" ht="30">
      <c r="A22" s="48" t="s">
        <v>403</v>
      </c>
      <c r="B22" t="s">
        <v>309</v>
      </c>
      <c r="C22" s="49" t="s">
        <v>404</v>
      </c>
      <c r="D22" s="50">
        <v>0.03</v>
      </c>
      <c r="E22" s="50">
        <v>0.17</v>
      </c>
      <c r="F22" s="49" t="s">
        <v>405</v>
      </c>
      <c r="G22" s="49" t="s">
        <v>406</v>
      </c>
      <c r="I22" s="8" t="str">
        <f t="shared" si="0"/>
        <v>$900</v>
      </c>
      <c r="J22" s="51">
        <f>IF(RIGHT(C22,1)="B",I22*'2016 Value'!$L$4,IF(RIGHT(C22,1)="M",I22*'2016 Value'!$L$5,"ERROR"))</f>
        <v>900000000</v>
      </c>
      <c r="N22" s="36">
        <f t="shared" si="1"/>
        <v>143000000</v>
      </c>
    </row>
    <row r="23" spans="1:14" ht="30">
      <c r="A23" s="48" t="s">
        <v>407</v>
      </c>
      <c r="B23" t="s">
        <v>310</v>
      </c>
      <c r="C23" s="49" t="s">
        <v>408</v>
      </c>
      <c r="D23" s="50">
        <v>0.03</v>
      </c>
      <c r="E23" s="50">
        <v>0.09</v>
      </c>
      <c r="F23" s="49" t="s">
        <v>394</v>
      </c>
      <c r="G23" s="49" t="s">
        <v>409</v>
      </c>
      <c r="I23" s="8" t="str">
        <f t="shared" si="0"/>
        <v>$875</v>
      </c>
      <c r="J23" s="51">
        <f>IF(RIGHT(C23,1)="B",I23*'2016 Value'!$L$4,IF(RIGHT(C23,1)="M",I23*'2016 Value'!$L$5,"ERROR"))</f>
        <v>875000000</v>
      </c>
      <c r="N23" s="36">
        <f t="shared" si="1"/>
        <v>146000000</v>
      </c>
    </row>
    <row r="24" spans="1:14" ht="30">
      <c r="A24" s="48" t="s">
        <v>410</v>
      </c>
      <c r="B24" t="s">
        <v>311</v>
      </c>
      <c r="C24" s="49" t="s">
        <v>411</v>
      </c>
      <c r="D24" s="50">
        <v>0</v>
      </c>
      <c r="E24" s="50">
        <v>0</v>
      </c>
      <c r="F24" s="49" t="s">
        <v>412</v>
      </c>
      <c r="G24" s="49" t="s">
        <v>413</v>
      </c>
      <c r="I24" s="8" t="str">
        <f t="shared" si="0"/>
        <v>$855</v>
      </c>
      <c r="J24" s="51">
        <f>IF(RIGHT(C24,1)="B",I24*'2016 Value'!$L$4,IF(RIGHT(C24,1)="M",I24*'2016 Value'!$L$5,"ERROR"))</f>
        <v>855000000</v>
      </c>
      <c r="N24" s="36">
        <f t="shared" si="1"/>
        <v>140000000</v>
      </c>
    </row>
    <row r="25" spans="1:14" ht="30">
      <c r="A25" s="48" t="s">
        <v>414</v>
      </c>
      <c r="B25" t="s">
        <v>312</v>
      </c>
      <c r="C25" s="49" t="s">
        <v>415</v>
      </c>
      <c r="D25" s="50">
        <v>0.05</v>
      </c>
      <c r="E25" s="50">
        <v>0.22</v>
      </c>
      <c r="F25" s="49" t="s">
        <v>382</v>
      </c>
      <c r="G25" s="49" t="s">
        <v>416</v>
      </c>
      <c r="I25" s="8" t="str">
        <f t="shared" si="0"/>
        <v>$850</v>
      </c>
      <c r="J25" s="51">
        <f>IF(RIGHT(C25,1)="B",I25*'2016 Value'!$L$4,IF(RIGHT(C25,1)="M",I25*'2016 Value'!$L$5,"ERROR"))</f>
        <v>850000000</v>
      </c>
      <c r="N25" s="36">
        <f t="shared" si="1"/>
        <v>154000000</v>
      </c>
    </row>
    <row r="26" spans="1:14" ht="30">
      <c r="A26" s="48" t="s">
        <v>417</v>
      </c>
      <c r="B26" t="s">
        <v>313</v>
      </c>
      <c r="C26" s="49" t="s">
        <v>418</v>
      </c>
      <c r="D26" s="50">
        <v>0.01</v>
      </c>
      <c r="E26" s="50">
        <v>0.18</v>
      </c>
      <c r="F26" s="49" t="s">
        <v>419</v>
      </c>
      <c r="G26" s="49" t="s">
        <v>420</v>
      </c>
      <c r="I26" s="8" t="str">
        <f t="shared" si="0"/>
        <v>$840</v>
      </c>
      <c r="J26" s="51">
        <f>IF(RIGHT(C26,1)="B",I26*'2016 Value'!$L$4,IF(RIGHT(C26,1)="M",I26*'2016 Value'!$L$5,"ERROR"))</f>
        <v>840000000</v>
      </c>
      <c r="N26" s="36">
        <f t="shared" si="1"/>
        <v>138000000</v>
      </c>
    </row>
    <row r="27" spans="1:14" ht="30">
      <c r="A27" s="48" t="s">
        <v>421</v>
      </c>
      <c r="B27" t="s">
        <v>314</v>
      </c>
      <c r="C27" s="49" t="s">
        <v>422</v>
      </c>
      <c r="D27" s="50">
        <v>0</v>
      </c>
      <c r="E27" s="50">
        <v>0.3</v>
      </c>
      <c r="F27" s="49" t="s">
        <v>423</v>
      </c>
      <c r="G27" s="49" t="s">
        <v>424</v>
      </c>
      <c r="I27" s="8" t="str">
        <f t="shared" si="0"/>
        <v>$825</v>
      </c>
      <c r="J27" s="51">
        <f>IF(RIGHT(C27,1)="B",I27*'2016 Value'!$L$4,IF(RIGHT(C27,1)="M",I27*'2016 Value'!$L$5,"ERROR"))</f>
        <v>825000000</v>
      </c>
      <c r="N27" s="36">
        <f t="shared" si="1"/>
        <v>142000000</v>
      </c>
    </row>
    <row r="28" spans="1:14" ht="30">
      <c r="A28" s="48" t="s">
        <v>425</v>
      </c>
      <c r="B28" t="s">
        <v>315</v>
      </c>
      <c r="C28" s="49" t="s">
        <v>426</v>
      </c>
      <c r="D28" s="50">
        <v>0.04</v>
      </c>
      <c r="E28" s="50">
        <v>0.22</v>
      </c>
      <c r="F28" s="49" t="s">
        <v>427</v>
      </c>
      <c r="G28" s="49" t="s">
        <v>428</v>
      </c>
      <c r="I28" s="8" t="str">
        <f t="shared" si="0"/>
        <v>$780</v>
      </c>
      <c r="J28" s="51">
        <f>IF(RIGHT(C28,1)="B",I28*'2016 Value'!$L$4,IF(RIGHT(C28,1)="M",I28*'2016 Value'!$L$5,"ERROR"))</f>
        <v>780000000</v>
      </c>
      <c r="N28" s="36">
        <f t="shared" si="1"/>
        <v>147000000</v>
      </c>
    </row>
    <row r="29" spans="1:14" ht="30">
      <c r="A29" s="48" t="s">
        <v>429</v>
      </c>
      <c r="B29" t="s">
        <v>316</v>
      </c>
      <c r="C29" s="49" t="s">
        <v>430</v>
      </c>
      <c r="D29" s="50">
        <v>0.03</v>
      </c>
      <c r="E29" s="50">
        <v>0.2</v>
      </c>
      <c r="F29" s="49" t="s">
        <v>423</v>
      </c>
      <c r="G29" s="49" t="s">
        <v>431</v>
      </c>
      <c r="I29" s="8" t="str">
        <f t="shared" si="0"/>
        <v>$750</v>
      </c>
      <c r="J29" s="51">
        <f>IF(RIGHT(C29,1)="B",I29*'2016 Value'!$L$4,IF(RIGHT(C29,1)="M",I29*'2016 Value'!$L$5,"ERROR"))</f>
        <v>750000000</v>
      </c>
      <c r="N29" s="36">
        <f t="shared" si="1"/>
        <v>142000000</v>
      </c>
    </row>
    <row r="30" spans="1:14" ht="30">
      <c r="A30" s="48" t="s">
        <v>432</v>
      </c>
      <c r="B30" t="s">
        <v>318</v>
      </c>
      <c r="C30" s="49" t="s">
        <v>433</v>
      </c>
      <c r="D30" s="50">
        <v>0.15</v>
      </c>
      <c r="E30" s="50">
        <v>0.14000000000000001</v>
      </c>
      <c r="F30" s="49" t="s">
        <v>394</v>
      </c>
      <c r="G30" s="49" t="s">
        <v>434</v>
      </c>
      <c r="I30" s="8" t="str">
        <f t="shared" si="0"/>
        <v>$720</v>
      </c>
      <c r="J30" s="51">
        <f>IF(RIGHT(C30,1)="B",I30*'2016 Value'!$L$4,IF(RIGHT(C30,1)="M",I30*'2016 Value'!$L$5,"ERROR"))</f>
        <v>720000000</v>
      </c>
      <c r="N30" s="36">
        <f t="shared" si="1"/>
        <v>146000000</v>
      </c>
    </row>
    <row r="31" spans="1:14" ht="30">
      <c r="A31" s="48" t="s">
        <v>435</v>
      </c>
      <c r="B31" t="s">
        <v>319</v>
      </c>
      <c r="C31" s="49" t="s">
        <v>436</v>
      </c>
      <c r="D31" s="50">
        <v>0</v>
      </c>
      <c r="E31" s="50">
        <v>0.21</v>
      </c>
      <c r="F31" s="49" t="s">
        <v>437</v>
      </c>
      <c r="G31" s="49" t="s">
        <v>438</v>
      </c>
      <c r="I31" s="8" t="str">
        <f t="shared" si="0"/>
        <v>$700</v>
      </c>
      <c r="J31" s="51">
        <f>IF(RIGHT(C31,1)="B",I31*'2016 Value'!$L$4,IF(RIGHT(C31,1)="M",I31*'2016 Value'!$L$5,"ERROR"))</f>
        <v>700000000</v>
      </c>
      <c r="N31" s="36">
        <f t="shared" si="1"/>
        <v>124000000</v>
      </c>
    </row>
    <row r="32" spans="1:14" ht="30">
      <c r="A32" s="48" t="s">
        <v>439</v>
      </c>
      <c r="B32" t="s">
        <v>320</v>
      </c>
      <c r="C32" s="49" t="s">
        <v>440</v>
      </c>
      <c r="D32" s="50">
        <v>0.12</v>
      </c>
      <c r="E32" s="50">
        <v>0.26</v>
      </c>
      <c r="F32" s="49" t="s">
        <v>441</v>
      </c>
      <c r="G32" s="49" t="s">
        <v>442</v>
      </c>
      <c r="I32" s="8" t="str">
        <f t="shared" si="0"/>
        <v>$675</v>
      </c>
      <c r="J32" s="51">
        <f>IF(RIGHT(C32,1)="B",I32*'2016 Value'!$L$4,IF(RIGHT(C32,1)="M",I32*'2016 Value'!$L$5,"ERROR"))</f>
        <v>675000000</v>
      </c>
      <c r="N32" s="36">
        <f t="shared" si="1"/>
        <v>126000000</v>
      </c>
    </row>
    <row r="33" spans="1:14" ht="30">
      <c r="A33" s="48" t="s">
        <v>443</v>
      </c>
      <c r="B33" t="s">
        <v>321</v>
      </c>
      <c r="C33" s="49" t="s">
        <v>444</v>
      </c>
      <c r="D33" s="50">
        <v>0</v>
      </c>
      <c r="E33" s="50">
        <v>0.19</v>
      </c>
      <c r="F33" s="49" t="s">
        <v>423</v>
      </c>
      <c r="G33" s="49" t="s">
        <v>445</v>
      </c>
      <c r="I33" s="8" t="str">
        <f t="shared" si="0"/>
        <v>$650</v>
      </c>
      <c r="J33" s="51">
        <f>IF(RIGHT(C33,1)="B",I33*'2016 Value'!$L$4,IF(RIGHT(C33,1)="M",I33*'2016 Value'!$L$5,"ERROR"))</f>
        <v>650000000</v>
      </c>
      <c r="N33" s="36">
        <f t="shared" si="1"/>
        <v>142000000</v>
      </c>
    </row>
    <row r="34" spans="1:14">
      <c r="J34" s="51"/>
      <c r="N34" s="51"/>
    </row>
    <row r="35" spans="1:14">
      <c r="A35" s="52" t="s">
        <v>446</v>
      </c>
      <c r="N35" s="36"/>
    </row>
    <row r="36" spans="1:14">
      <c r="A36" s="52" t="s">
        <v>447</v>
      </c>
    </row>
    <row r="37" spans="1:14">
      <c r="A37" s="52" t="s">
        <v>448</v>
      </c>
    </row>
    <row r="38" spans="1:14">
      <c r="A38" s="52" t="s">
        <v>449</v>
      </c>
    </row>
    <row r="39" spans="1:14">
      <c r="A39" s="52" t="s">
        <v>450</v>
      </c>
    </row>
    <row r="40" spans="1:14">
      <c r="A40" s="52" t="s">
        <v>451</v>
      </c>
    </row>
    <row r="41" spans="1:14">
      <c r="A41" s="52" t="s">
        <v>452</v>
      </c>
    </row>
    <row r="42" spans="1:14">
      <c r="A42" s="52" t="s">
        <v>453</v>
      </c>
    </row>
    <row r="43" spans="1:14">
      <c r="A43" s="52" t="s">
        <v>454</v>
      </c>
    </row>
    <row r="44" spans="1:14">
      <c r="A44" s="52" t="s">
        <v>455</v>
      </c>
    </row>
    <row r="45" spans="1:14">
      <c r="A45" s="52" t="s">
        <v>456</v>
      </c>
    </row>
    <row r="46" spans="1:14">
      <c r="A46" s="52" t="s">
        <v>457</v>
      </c>
    </row>
    <row r="47" spans="1:14">
      <c r="A47" s="52" t="s">
        <v>458</v>
      </c>
    </row>
    <row r="48" spans="1:14">
      <c r="A48" s="52" t="s">
        <v>459</v>
      </c>
    </row>
    <row r="49" spans="1:1">
      <c r="A49" s="52" t="s">
        <v>460</v>
      </c>
    </row>
  </sheetData>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defaultColWidth="11.19921875" defaultRowHeight="15.6"/>
  <cols>
    <col min="9" max="9" width="17.296875" bestFit="1" customWidth="1"/>
  </cols>
  <sheetData>
    <row r="1" spans="1:9">
      <c r="A1" t="s">
        <v>461</v>
      </c>
    </row>
    <row r="3" spans="1:9">
      <c r="A3" s="53" t="s">
        <v>225</v>
      </c>
      <c r="B3" s="54" t="s">
        <v>325</v>
      </c>
      <c r="C3" s="54" t="s">
        <v>462</v>
      </c>
      <c r="D3" s="54" t="s">
        <v>463</v>
      </c>
      <c r="E3" s="54" t="s">
        <v>464</v>
      </c>
      <c r="F3" s="54" t="s">
        <v>465</v>
      </c>
      <c r="G3" s="54" t="s">
        <v>466</v>
      </c>
    </row>
    <row r="4" spans="1:9" ht="46.2">
      <c r="A4" s="55">
        <v>1</v>
      </c>
      <c r="B4" t="s">
        <v>292</v>
      </c>
      <c r="C4" s="56">
        <v>2600</v>
      </c>
      <c r="D4" s="57">
        <v>93</v>
      </c>
      <c r="E4" s="57">
        <v>2</v>
      </c>
      <c r="F4" s="57">
        <v>293</v>
      </c>
      <c r="G4" s="57">
        <v>104.1</v>
      </c>
      <c r="I4" s="44">
        <f>C4*1000000</f>
        <v>2600000000</v>
      </c>
    </row>
    <row r="5" spans="1:9" ht="46.2">
      <c r="A5" s="55">
        <v>2</v>
      </c>
      <c r="B5" t="s">
        <v>291</v>
      </c>
      <c r="C5" s="56">
        <v>2500</v>
      </c>
      <c r="D5" s="57">
        <v>79</v>
      </c>
      <c r="E5" s="57">
        <v>0</v>
      </c>
      <c r="F5" s="57">
        <v>278</v>
      </c>
      <c r="G5" s="57">
        <v>53.4</v>
      </c>
      <c r="I5" s="44">
        <f t="shared" ref="I5:I33" si="0">C5*1000000</f>
        <v>2500000000</v>
      </c>
    </row>
    <row r="6" spans="1:9" ht="46.2">
      <c r="A6" s="55">
        <v>3</v>
      </c>
      <c r="B6" t="s">
        <v>293</v>
      </c>
      <c r="C6" s="56">
        <v>2000</v>
      </c>
      <c r="D6" s="57">
        <v>100</v>
      </c>
      <c r="E6" s="57">
        <v>3</v>
      </c>
      <c r="F6" s="57">
        <v>201</v>
      </c>
      <c r="G6" s="57">
        <v>65.3</v>
      </c>
      <c r="I6" s="44">
        <f t="shared" si="0"/>
        <v>2000000000</v>
      </c>
    </row>
    <row r="7" spans="1:9" ht="46.2">
      <c r="A7" s="55">
        <v>4</v>
      </c>
      <c r="B7" t="s">
        <v>294</v>
      </c>
      <c r="C7" s="56">
        <v>1700</v>
      </c>
      <c r="D7" s="57">
        <v>94</v>
      </c>
      <c r="E7" s="57">
        <v>9</v>
      </c>
      <c r="F7" s="57">
        <v>173</v>
      </c>
      <c r="G7" s="57">
        <v>54.9</v>
      </c>
      <c r="I7" s="44">
        <f t="shared" si="0"/>
        <v>1700000000</v>
      </c>
    </row>
    <row r="8" spans="1:9" ht="46.2">
      <c r="A8" s="55">
        <v>5</v>
      </c>
      <c r="B8" t="s">
        <v>295</v>
      </c>
      <c r="C8" s="56">
        <v>1600</v>
      </c>
      <c r="D8" s="57">
        <v>178</v>
      </c>
      <c r="E8" s="57">
        <v>0</v>
      </c>
      <c r="F8" s="57">
        <v>146</v>
      </c>
      <c r="G8" s="57">
        <v>20.100000000000001</v>
      </c>
      <c r="I8" s="44">
        <f t="shared" si="0"/>
        <v>1600000000</v>
      </c>
    </row>
    <row r="9" spans="1:9" ht="46.2">
      <c r="A9" s="55">
        <v>6</v>
      </c>
      <c r="B9" t="s">
        <v>297</v>
      </c>
      <c r="C9" s="56">
        <v>1500</v>
      </c>
      <c r="D9" s="57">
        <v>92</v>
      </c>
      <c r="E9" s="57">
        <v>19</v>
      </c>
      <c r="F9" s="57">
        <v>212</v>
      </c>
      <c r="G9" s="57">
        <v>-99.4</v>
      </c>
      <c r="I9" s="44">
        <f t="shared" si="0"/>
        <v>1500000000</v>
      </c>
    </row>
    <row r="10" spans="1:9" ht="46.2">
      <c r="A10" s="55">
        <v>7</v>
      </c>
      <c r="B10" t="s">
        <v>296</v>
      </c>
      <c r="C10" s="56">
        <v>1300</v>
      </c>
      <c r="D10" s="57">
        <v>73</v>
      </c>
      <c r="E10" s="57">
        <v>12</v>
      </c>
      <c r="F10" s="57">
        <v>168</v>
      </c>
      <c r="G10" s="57">
        <v>44.9</v>
      </c>
      <c r="I10" s="44">
        <f t="shared" si="0"/>
        <v>1300000000</v>
      </c>
    </row>
    <row r="11" spans="1:9" ht="46.2">
      <c r="A11" s="55">
        <v>8</v>
      </c>
      <c r="B11" t="s">
        <v>299</v>
      </c>
      <c r="C11" s="56">
        <v>1250</v>
      </c>
      <c r="D11" s="57">
        <v>61</v>
      </c>
      <c r="E11" s="57">
        <v>8</v>
      </c>
      <c r="F11" s="57">
        <v>175</v>
      </c>
      <c r="G11" s="57">
        <v>38</v>
      </c>
      <c r="I11" s="44">
        <f t="shared" si="0"/>
        <v>1250000000</v>
      </c>
    </row>
    <row r="12" spans="1:9" ht="46.2">
      <c r="A12" s="55">
        <v>9</v>
      </c>
      <c r="B12" t="s">
        <v>301</v>
      </c>
      <c r="C12" s="56">
        <v>1175</v>
      </c>
      <c r="D12" s="57">
        <v>53</v>
      </c>
      <c r="E12" s="57">
        <v>8</v>
      </c>
      <c r="F12" s="57">
        <v>188</v>
      </c>
      <c r="G12" s="57">
        <v>12.6</v>
      </c>
      <c r="I12" s="44">
        <f t="shared" si="0"/>
        <v>1175000000</v>
      </c>
    </row>
    <row r="13" spans="1:9" ht="46.2">
      <c r="A13" s="55">
        <v>10</v>
      </c>
      <c r="B13" t="s">
        <v>300</v>
      </c>
      <c r="C13" s="56">
        <v>1150</v>
      </c>
      <c r="D13" s="57">
        <v>50</v>
      </c>
      <c r="E13" s="57">
        <v>17</v>
      </c>
      <c r="F13" s="57">
        <v>168</v>
      </c>
      <c r="G13" s="57">
        <v>30.4</v>
      </c>
      <c r="I13" s="44">
        <f t="shared" si="0"/>
        <v>1150000000</v>
      </c>
    </row>
    <row r="14" spans="1:9" ht="46.2">
      <c r="A14" s="55">
        <v>11</v>
      </c>
      <c r="B14" t="s">
        <v>302</v>
      </c>
      <c r="C14" s="56">
        <v>1000</v>
      </c>
      <c r="D14" s="57">
        <v>52</v>
      </c>
      <c r="E14" s="57">
        <v>8</v>
      </c>
      <c r="F14" s="57">
        <v>172</v>
      </c>
      <c r="G14" s="57">
        <v>40.9</v>
      </c>
      <c r="I14" s="44">
        <f t="shared" si="0"/>
        <v>1000000000</v>
      </c>
    </row>
    <row r="15" spans="1:9" ht="46.2">
      <c r="A15" s="55">
        <v>12</v>
      </c>
      <c r="B15" t="s">
        <v>306</v>
      </c>
      <c r="C15" s="57">
        <v>940</v>
      </c>
      <c r="D15" s="57">
        <v>60</v>
      </c>
      <c r="E15" s="57">
        <v>11</v>
      </c>
      <c r="F15" s="57">
        <v>153</v>
      </c>
      <c r="G15" s="57">
        <v>11.7</v>
      </c>
      <c r="I15" s="44">
        <f t="shared" si="0"/>
        <v>940000000</v>
      </c>
    </row>
    <row r="16" spans="1:9" ht="46.2">
      <c r="A16" s="55">
        <v>13</v>
      </c>
      <c r="B16" t="s">
        <v>77</v>
      </c>
      <c r="C16" s="57">
        <v>930</v>
      </c>
      <c r="D16" s="57">
        <v>58</v>
      </c>
      <c r="E16" s="57">
        <v>15</v>
      </c>
      <c r="F16" s="57">
        <v>152</v>
      </c>
      <c r="G16" s="57">
        <v>30.8</v>
      </c>
      <c r="I16" s="44">
        <f t="shared" si="0"/>
        <v>930000000</v>
      </c>
    </row>
    <row r="17" spans="1:9" ht="46.2">
      <c r="A17" s="55">
        <v>14</v>
      </c>
      <c r="B17" t="s">
        <v>305</v>
      </c>
      <c r="C17" s="57">
        <v>920</v>
      </c>
      <c r="D17" s="57">
        <v>77</v>
      </c>
      <c r="E17" s="57">
        <v>16</v>
      </c>
      <c r="F17" s="57">
        <v>151</v>
      </c>
      <c r="G17" s="57">
        <v>17.899999999999999</v>
      </c>
      <c r="I17" s="44">
        <f t="shared" si="0"/>
        <v>920000000</v>
      </c>
    </row>
    <row r="18" spans="1:9" ht="46.2">
      <c r="A18" s="55">
        <v>15</v>
      </c>
      <c r="B18" t="s">
        <v>303</v>
      </c>
      <c r="C18" s="57">
        <v>915</v>
      </c>
      <c r="D18" s="57">
        <v>78</v>
      </c>
      <c r="E18" s="57">
        <v>22</v>
      </c>
      <c r="F18" s="57">
        <v>149</v>
      </c>
      <c r="G18" s="57">
        <v>20.6</v>
      </c>
      <c r="I18" s="44">
        <f t="shared" si="0"/>
        <v>915000000</v>
      </c>
    </row>
    <row r="19" spans="1:9" ht="46.2">
      <c r="A19" s="55">
        <v>16</v>
      </c>
      <c r="B19" t="s">
        <v>304</v>
      </c>
      <c r="C19" s="57">
        <v>910</v>
      </c>
      <c r="D19" s="57">
        <v>61</v>
      </c>
      <c r="E19" s="57">
        <v>20</v>
      </c>
      <c r="F19" s="57">
        <v>145</v>
      </c>
      <c r="G19" s="57">
        <v>28.2</v>
      </c>
      <c r="I19" s="44">
        <f t="shared" si="0"/>
        <v>910000000</v>
      </c>
    </row>
    <row r="20" spans="1:9" ht="46.2">
      <c r="A20" s="55">
        <v>17</v>
      </c>
      <c r="B20" t="s">
        <v>307</v>
      </c>
      <c r="C20" s="57">
        <v>900</v>
      </c>
      <c r="D20" s="57">
        <v>86</v>
      </c>
      <c r="E20" s="57">
        <v>14</v>
      </c>
      <c r="F20" s="57">
        <v>143</v>
      </c>
      <c r="G20" s="57">
        <v>10.1</v>
      </c>
      <c r="I20" s="44">
        <f t="shared" si="0"/>
        <v>900000000</v>
      </c>
    </row>
    <row r="21" spans="1:9" ht="46.2">
      <c r="A21" s="55">
        <v>18</v>
      </c>
      <c r="B21" t="s">
        <v>309</v>
      </c>
      <c r="C21" s="57">
        <v>875</v>
      </c>
      <c r="D21" s="57">
        <v>56</v>
      </c>
      <c r="E21" s="57">
        <v>17</v>
      </c>
      <c r="F21" s="57">
        <v>143</v>
      </c>
      <c r="G21" s="57">
        <v>20.9</v>
      </c>
      <c r="I21" s="44">
        <f t="shared" si="0"/>
        <v>875000000</v>
      </c>
    </row>
    <row r="22" spans="1:9" ht="46.2">
      <c r="A22" s="55">
        <v>19</v>
      </c>
      <c r="B22" t="s">
        <v>311</v>
      </c>
      <c r="C22" s="57">
        <v>855</v>
      </c>
      <c r="D22" s="57">
        <v>73</v>
      </c>
      <c r="E22" s="57">
        <v>1</v>
      </c>
      <c r="F22" s="57">
        <v>136</v>
      </c>
      <c r="G22" s="57">
        <v>14</v>
      </c>
      <c r="I22" s="44">
        <f t="shared" si="0"/>
        <v>855000000</v>
      </c>
    </row>
    <row r="23" spans="1:9" ht="46.2">
      <c r="A23" s="55">
        <v>20</v>
      </c>
      <c r="B23" t="s">
        <v>310</v>
      </c>
      <c r="C23" s="57">
        <v>850</v>
      </c>
      <c r="D23" s="57">
        <v>62</v>
      </c>
      <c r="E23" s="57">
        <v>6</v>
      </c>
      <c r="F23" s="57">
        <v>142</v>
      </c>
      <c r="G23" s="57">
        <v>32.700000000000003</v>
      </c>
      <c r="I23" s="44">
        <f t="shared" si="0"/>
        <v>850000000</v>
      </c>
    </row>
    <row r="24" spans="1:9" ht="46.2">
      <c r="A24" s="55">
        <v>21</v>
      </c>
      <c r="B24" t="s">
        <v>313</v>
      </c>
      <c r="C24" s="57">
        <v>830</v>
      </c>
      <c r="D24" s="57">
        <v>75</v>
      </c>
      <c r="E24" s="57">
        <v>18</v>
      </c>
      <c r="F24" s="57">
        <v>139</v>
      </c>
      <c r="G24" s="57">
        <v>25</v>
      </c>
      <c r="I24" s="44">
        <f t="shared" si="0"/>
        <v>830000000</v>
      </c>
    </row>
    <row r="25" spans="1:9" ht="46.2">
      <c r="A25" s="55">
        <v>22</v>
      </c>
      <c r="B25" t="s">
        <v>314</v>
      </c>
      <c r="C25" s="57">
        <v>825</v>
      </c>
      <c r="D25" s="57">
        <v>94</v>
      </c>
      <c r="E25" s="57">
        <v>21</v>
      </c>
      <c r="F25" s="57">
        <v>133</v>
      </c>
      <c r="G25" s="57">
        <v>14.8</v>
      </c>
      <c r="I25" s="44">
        <f t="shared" si="0"/>
        <v>825000000</v>
      </c>
    </row>
    <row r="26" spans="1:9" ht="46.2">
      <c r="A26" s="55">
        <v>23</v>
      </c>
      <c r="B26" t="s">
        <v>312</v>
      </c>
      <c r="C26" s="57">
        <v>810</v>
      </c>
      <c r="D26" s="57">
        <v>80</v>
      </c>
      <c r="E26" s="57">
        <v>23</v>
      </c>
      <c r="F26" s="57">
        <v>144</v>
      </c>
      <c r="G26" s="57">
        <v>17.600000000000001</v>
      </c>
      <c r="I26" s="44">
        <f t="shared" si="0"/>
        <v>810000000</v>
      </c>
    </row>
    <row r="27" spans="1:9" ht="46.2">
      <c r="A27" s="55">
        <v>24</v>
      </c>
      <c r="B27" t="s">
        <v>308</v>
      </c>
      <c r="C27" s="57">
        <v>800</v>
      </c>
      <c r="D27" s="57">
        <v>45</v>
      </c>
      <c r="E27" s="57">
        <v>29</v>
      </c>
      <c r="F27" s="57">
        <v>125</v>
      </c>
      <c r="G27" s="57">
        <v>8.9</v>
      </c>
      <c r="I27" s="44">
        <f t="shared" si="0"/>
        <v>800000000</v>
      </c>
    </row>
    <row r="28" spans="1:9" ht="46.2">
      <c r="A28" s="55">
        <v>25</v>
      </c>
      <c r="B28" t="s">
        <v>315</v>
      </c>
      <c r="C28" s="57">
        <v>750</v>
      </c>
      <c r="D28" s="57">
        <v>66</v>
      </c>
      <c r="E28" s="57">
        <v>23</v>
      </c>
      <c r="F28" s="57">
        <v>135</v>
      </c>
      <c r="G28" s="57">
        <v>10.5</v>
      </c>
      <c r="I28" s="44">
        <f t="shared" si="0"/>
        <v>750000000</v>
      </c>
    </row>
    <row r="29" spans="1:9" ht="46.2">
      <c r="A29" s="55">
        <v>26</v>
      </c>
      <c r="B29" t="s">
        <v>467</v>
      </c>
      <c r="C29" s="57">
        <v>725</v>
      </c>
      <c r="D29" s="57">
        <v>77</v>
      </c>
      <c r="E29" s="57">
        <v>21</v>
      </c>
      <c r="F29" s="57">
        <v>130</v>
      </c>
      <c r="G29" s="57">
        <v>1.2</v>
      </c>
      <c r="I29" s="44">
        <f t="shared" si="0"/>
        <v>725000000</v>
      </c>
    </row>
    <row r="30" spans="1:9" ht="46.2">
      <c r="A30" s="55">
        <v>27</v>
      </c>
      <c r="B30" t="s">
        <v>319</v>
      </c>
      <c r="C30" s="57">
        <v>700</v>
      </c>
      <c r="D30" s="57">
        <v>49</v>
      </c>
      <c r="E30" s="57">
        <v>21</v>
      </c>
      <c r="F30" s="57">
        <v>125</v>
      </c>
      <c r="G30" s="57">
        <v>24.4</v>
      </c>
      <c r="I30" s="44">
        <f t="shared" si="0"/>
        <v>700000000</v>
      </c>
    </row>
    <row r="31" spans="1:9" ht="46.2">
      <c r="A31" s="55">
        <v>28</v>
      </c>
      <c r="B31" t="s">
        <v>321</v>
      </c>
      <c r="C31" s="57">
        <v>650</v>
      </c>
      <c r="D31" s="57">
        <v>55</v>
      </c>
      <c r="E31" s="57">
        <v>19</v>
      </c>
      <c r="F31" s="57">
        <v>131</v>
      </c>
      <c r="G31" s="57">
        <v>19</v>
      </c>
      <c r="I31" s="44">
        <f t="shared" si="0"/>
        <v>650000000</v>
      </c>
    </row>
    <row r="32" spans="1:9" ht="46.2">
      <c r="A32" s="55">
        <v>29</v>
      </c>
      <c r="B32" t="s">
        <v>318</v>
      </c>
      <c r="C32" s="57">
        <v>625</v>
      </c>
      <c r="D32" s="57">
        <v>45</v>
      </c>
      <c r="E32" s="57">
        <v>16</v>
      </c>
      <c r="F32" s="57">
        <v>128</v>
      </c>
      <c r="G32" s="57">
        <v>6.9</v>
      </c>
      <c r="I32" s="44">
        <f t="shared" si="0"/>
        <v>625000000</v>
      </c>
    </row>
    <row r="33" spans="1:9" ht="46.2">
      <c r="A33" s="55">
        <v>30</v>
      </c>
      <c r="B33" t="s">
        <v>320</v>
      </c>
      <c r="C33" s="57">
        <v>600</v>
      </c>
      <c r="D33" s="57">
        <v>48</v>
      </c>
      <c r="E33" s="57">
        <v>29</v>
      </c>
      <c r="F33" s="57">
        <v>110</v>
      </c>
      <c r="G33" s="57">
        <v>11.5</v>
      </c>
      <c r="I33" s="44">
        <f t="shared" si="0"/>
        <v>600000000</v>
      </c>
    </row>
    <row r="35" spans="1:9">
      <c r="A35" s="52" t="s">
        <v>468</v>
      </c>
    </row>
    <row r="36" spans="1:9">
      <c r="A36" s="52" t="s">
        <v>447</v>
      </c>
    </row>
    <row r="37" spans="1:9">
      <c r="A37" s="52" t="s">
        <v>448</v>
      </c>
    </row>
    <row r="38" spans="1:9">
      <c r="A38" s="52" t="s">
        <v>449</v>
      </c>
    </row>
    <row r="39" spans="1:9">
      <c r="A39" s="52" t="s">
        <v>450</v>
      </c>
    </row>
    <row r="40" spans="1:9">
      <c r="A40" s="52" t="s">
        <v>451</v>
      </c>
    </row>
    <row r="41" spans="1:9">
      <c r="A41" s="52" t="s">
        <v>452</v>
      </c>
    </row>
    <row r="42" spans="1:9">
      <c r="A42" s="52" t="s">
        <v>469</v>
      </c>
    </row>
    <row r="43" spans="1:9">
      <c r="A43" s="52" t="s">
        <v>454</v>
      </c>
    </row>
    <row r="44" spans="1:9">
      <c r="A44" s="52" t="s">
        <v>455</v>
      </c>
    </row>
    <row r="45" spans="1:9">
      <c r="A45" s="52" t="s">
        <v>456</v>
      </c>
    </row>
    <row r="46" spans="1:9">
      <c r="A46" s="52" t="s">
        <v>457</v>
      </c>
    </row>
    <row r="47" spans="1:9">
      <c r="A47" s="52" t="s">
        <v>458</v>
      </c>
    </row>
    <row r="48" spans="1:9">
      <c r="A48" s="52" t="s">
        <v>459</v>
      </c>
    </row>
  </sheetData>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heetViews>
  <sheetFormatPr defaultColWidth="11.19921875" defaultRowHeight="15.6"/>
  <cols>
    <col min="9" max="9" width="17.296875" bestFit="1" customWidth="1"/>
  </cols>
  <sheetData>
    <row r="1" spans="1:9">
      <c r="A1" t="s">
        <v>470</v>
      </c>
    </row>
    <row r="2" spans="1:9">
      <c r="A2" t="s">
        <v>471</v>
      </c>
    </row>
    <row r="4" spans="1:9">
      <c r="A4" s="53" t="s">
        <v>225</v>
      </c>
      <c r="B4" s="54" t="s">
        <v>325</v>
      </c>
      <c r="C4" s="54" t="s">
        <v>462</v>
      </c>
      <c r="D4" s="54" t="s">
        <v>463</v>
      </c>
      <c r="E4" s="54" t="s">
        <v>464</v>
      </c>
      <c r="F4" s="54" t="s">
        <v>465</v>
      </c>
      <c r="G4" s="54" t="s">
        <v>466</v>
      </c>
    </row>
    <row r="5" spans="1:9" ht="46.2">
      <c r="A5" s="55">
        <v>1</v>
      </c>
      <c r="B5" s="16" t="s">
        <v>291</v>
      </c>
      <c r="C5" s="56">
        <v>1400</v>
      </c>
      <c r="D5" s="57">
        <v>27</v>
      </c>
      <c r="E5" s="57">
        <v>0</v>
      </c>
      <c r="F5" s="57">
        <v>287</v>
      </c>
      <c r="G5" s="57">
        <v>96.3</v>
      </c>
      <c r="I5" s="44">
        <f>C5*1000000</f>
        <v>1400000000</v>
      </c>
    </row>
    <row r="6" spans="1:9" ht="46.2">
      <c r="A6" s="55">
        <v>2</v>
      </c>
      <c r="B6" s="16" t="s">
        <v>292</v>
      </c>
      <c r="C6" s="56">
        <v>1350</v>
      </c>
      <c r="D6" s="57">
        <v>35</v>
      </c>
      <c r="E6" s="57">
        <v>8</v>
      </c>
      <c r="F6" s="57">
        <v>295</v>
      </c>
      <c r="G6" s="57">
        <v>66.400000000000006</v>
      </c>
      <c r="I6" s="44">
        <f t="shared" ref="I6:I34" si="0">C6*1000000</f>
        <v>1350000000</v>
      </c>
    </row>
    <row r="7" spans="1:9" ht="46.2">
      <c r="A7" s="55">
        <v>3</v>
      </c>
      <c r="B7" s="16" t="s">
        <v>293</v>
      </c>
      <c r="C7" s="56">
        <v>1000</v>
      </c>
      <c r="D7" s="57">
        <v>25</v>
      </c>
      <c r="E7" s="57">
        <v>6</v>
      </c>
      <c r="F7" s="57">
        <v>195</v>
      </c>
      <c r="G7" s="57">
        <v>52.2</v>
      </c>
      <c r="I7" s="44">
        <f t="shared" si="0"/>
        <v>1000000000</v>
      </c>
    </row>
    <row r="8" spans="1:9" ht="46.2">
      <c r="A8" s="55">
        <v>4</v>
      </c>
      <c r="B8" s="16" t="s">
        <v>294</v>
      </c>
      <c r="C8" s="57">
        <v>875</v>
      </c>
      <c r="D8" s="57">
        <v>20</v>
      </c>
      <c r="E8" s="57">
        <v>18</v>
      </c>
      <c r="F8" s="57">
        <v>169</v>
      </c>
      <c r="G8" s="57">
        <v>46.8</v>
      </c>
      <c r="I8" s="44">
        <f t="shared" si="0"/>
        <v>875000000</v>
      </c>
    </row>
    <row r="9" spans="1:9" ht="46.2">
      <c r="A9" s="55">
        <v>5</v>
      </c>
      <c r="B9" s="16" t="s">
        <v>297</v>
      </c>
      <c r="C9" s="57">
        <v>780</v>
      </c>
      <c r="D9" s="57">
        <v>47</v>
      </c>
      <c r="E9" s="57">
        <v>36</v>
      </c>
      <c r="F9" s="57">
        <v>190</v>
      </c>
      <c r="G9" s="57">
        <v>-19</v>
      </c>
      <c r="I9" s="44">
        <f t="shared" si="0"/>
        <v>780000000</v>
      </c>
    </row>
    <row r="10" spans="1:9" ht="46.2">
      <c r="A10" s="55">
        <v>6</v>
      </c>
      <c r="B10" s="16" t="s">
        <v>299</v>
      </c>
      <c r="C10" s="57">
        <v>775</v>
      </c>
      <c r="D10" s="57">
        <v>36</v>
      </c>
      <c r="E10" s="57">
        <v>13</v>
      </c>
      <c r="F10" s="57">
        <v>191</v>
      </c>
      <c r="G10" s="57">
        <v>63.7</v>
      </c>
      <c r="I10" s="44">
        <f t="shared" si="0"/>
        <v>775000000</v>
      </c>
    </row>
    <row r="11" spans="1:9" ht="46.2">
      <c r="A11" s="55">
        <v>7</v>
      </c>
      <c r="B11" s="16" t="s">
        <v>301</v>
      </c>
      <c r="C11" s="57">
        <v>770</v>
      </c>
      <c r="D11" s="57">
        <v>23</v>
      </c>
      <c r="E11" s="57">
        <v>13</v>
      </c>
      <c r="F11" s="57">
        <v>188</v>
      </c>
      <c r="G11" s="57">
        <v>29.2</v>
      </c>
      <c r="I11" s="44">
        <f t="shared" si="0"/>
        <v>770000000</v>
      </c>
    </row>
    <row r="12" spans="1:9" ht="46.2">
      <c r="A12" s="55">
        <v>8</v>
      </c>
      <c r="B12" s="16" t="s">
        <v>300</v>
      </c>
      <c r="C12" s="57">
        <v>765</v>
      </c>
      <c r="D12" s="57">
        <v>12</v>
      </c>
      <c r="E12" s="57">
        <v>26</v>
      </c>
      <c r="F12" s="57">
        <v>162</v>
      </c>
      <c r="G12" s="57">
        <v>37.5</v>
      </c>
      <c r="I12" s="44">
        <f t="shared" si="0"/>
        <v>765000000</v>
      </c>
    </row>
    <row r="13" spans="1:9" ht="46.2">
      <c r="A13" s="55">
        <v>9</v>
      </c>
      <c r="B13" s="16" t="s">
        <v>296</v>
      </c>
      <c r="C13" s="57">
        <v>750</v>
      </c>
      <c r="D13" s="57">
        <v>35</v>
      </c>
      <c r="E13" s="57">
        <v>20</v>
      </c>
      <c r="F13" s="57">
        <v>160</v>
      </c>
      <c r="G13" s="57">
        <v>43</v>
      </c>
      <c r="I13" s="44">
        <f t="shared" si="0"/>
        <v>750000000</v>
      </c>
    </row>
    <row r="14" spans="1:9" ht="46.2">
      <c r="A14" s="55">
        <v>10</v>
      </c>
      <c r="B14" s="16" t="s">
        <v>302</v>
      </c>
      <c r="C14" s="57">
        <v>660</v>
      </c>
      <c r="D14" s="57">
        <v>25</v>
      </c>
      <c r="E14" s="57">
        <v>11</v>
      </c>
      <c r="F14" s="57">
        <v>167</v>
      </c>
      <c r="G14" s="57">
        <v>39.4</v>
      </c>
      <c r="I14" s="44">
        <f t="shared" si="0"/>
        <v>660000000</v>
      </c>
    </row>
    <row r="15" spans="1:9" ht="46.2">
      <c r="A15" s="55">
        <v>11</v>
      </c>
      <c r="B15" s="16" t="s">
        <v>77</v>
      </c>
      <c r="C15" s="57">
        <v>590</v>
      </c>
      <c r="D15" s="57">
        <v>24</v>
      </c>
      <c r="E15" s="57">
        <v>24</v>
      </c>
      <c r="F15" s="57">
        <v>144</v>
      </c>
      <c r="G15" s="57">
        <v>33.299999999999997</v>
      </c>
      <c r="I15" s="44">
        <f t="shared" si="0"/>
        <v>590000000</v>
      </c>
    </row>
    <row r="16" spans="1:9" ht="46.2">
      <c r="A16" s="55">
        <v>12</v>
      </c>
      <c r="B16" s="16" t="s">
        <v>306</v>
      </c>
      <c r="C16" s="57">
        <v>587</v>
      </c>
      <c r="D16" s="57">
        <v>28</v>
      </c>
      <c r="E16" s="57">
        <v>18</v>
      </c>
      <c r="F16" s="57">
        <v>140</v>
      </c>
      <c r="G16" s="57">
        <v>30</v>
      </c>
      <c r="I16" s="44">
        <f t="shared" si="0"/>
        <v>587000000</v>
      </c>
    </row>
    <row r="17" spans="1:9" ht="46.2">
      <c r="A17" s="55">
        <v>13</v>
      </c>
      <c r="B17" s="16" t="s">
        <v>295</v>
      </c>
      <c r="C17" s="57">
        <v>575</v>
      </c>
      <c r="D17" s="57">
        <v>34</v>
      </c>
      <c r="E17" s="57">
        <v>0</v>
      </c>
      <c r="F17" s="57">
        <v>128</v>
      </c>
      <c r="G17" s="57">
        <v>15</v>
      </c>
      <c r="I17" s="44">
        <f t="shared" si="0"/>
        <v>575000000</v>
      </c>
    </row>
    <row r="18" spans="1:9" ht="46.2">
      <c r="A18" s="55">
        <v>14</v>
      </c>
      <c r="B18" s="16" t="s">
        <v>304</v>
      </c>
      <c r="C18" s="57">
        <v>565</v>
      </c>
      <c r="D18" s="57">
        <v>19</v>
      </c>
      <c r="E18" s="57">
        <v>33</v>
      </c>
      <c r="F18" s="57">
        <v>137</v>
      </c>
      <c r="G18" s="57">
        <v>28.2</v>
      </c>
      <c r="I18" s="44">
        <f t="shared" si="0"/>
        <v>565000000</v>
      </c>
    </row>
    <row r="19" spans="1:9" ht="46.2">
      <c r="A19" s="55">
        <v>15</v>
      </c>
      <c r="B19" s="16" t="s">
        <v>309</v>
      </c>
      <c r="C19" s="57">
        <v>560</v>
      </c>
      <c r="D19" s="57">
        <v>19</v>
      </c>
      <c r="E19" s="57">
        <v>21</v>
      </c>
      <c r="F19" s="57">
        <v>139</v>
      </c>
      <c r="G19" s="57">
        <v>12.3</v>
      </c>
      <c r="I19" s="44">
        <f t="shared" si="0"/>
        <v>560000000</v>
      </c>
    </row>
    <row r="20" spans="1:9" ht="46.2">
      <c r="A20" s="55">
        <v>16</v>
      </c>
      <c r="B20" s="16" t="s">
        <v>308</v>
      </c>
      <c r="C20" s="57">
        <v>550</v>
      </c>
      <c r="D20" s="57">
        <v>5</v>
      </c>
      <c r="E20" s="57">
        <v>43</v>
      </c>
      <c r="F20" s="57">
        <v>115</v>
      </c>
      <c r="G20" s="57">
        <v>12.5</v>
      </c>
      <c r="I20" s="44">
        <f t="shared" si="0"/>
        <v>550000000</v>
      </c>
    </row>
    <row r="21" spans="1:9" ht="46.2">
      <c r="A21" s="55">
        <v>17</v>
      </c>
      <c r="B21" s="16" t="s">
        <v>310</v>
      </c>
      <c r="C21" s="57">
        <v>525</v>
      </c>
      <c r="D21" s="57">
        <v>22</v>
      </c>
      <c r="E21" s="57">
        <v>10</v>
      </c>
      <c r="F21" s="57">
        <v>131</v>
      </c>
      <c r="G21" s="57">
        <v>17.5</v>
      </c>
      <c r="I21" s="44">
        <f t="shared" si="0"/>
        <v>525000000</v>
      </c>
    </row>
    <row r="22" spans="1:9" ht="46.2">
      <c r="A22" s="55">
        <v>18</v>
      </c>
      <c r="B22" s="16" t="s">
        <v>305</v>
      </c>
      <c r="C22" s="57">
        <v>520</v>
      </c>
      <c r="D22" s="57">
        <v>28</v>
      </c>
      <c r="E22" s="57">
        <v>30</v>
      </c>
      <c r="F22" s="57">
        <v>149</v>
      </c>
      <c r="G22" s="57">
        <v>28.8</v>
      </c>
      <c r="I22" s="44">
        <f t="shared" si="0"/>
        <v>520000000</v>
      </c>
    </row>
    <row r="23" spans="1:9" ht="46.2">
      <c r="A23" s="55">
        <v>19</v>
      </c>
      <c r="B23" s="16" t="s">
        <v>303</v>
      </c>
      <c r="C23" s="57">
        <v>515</v>
      </c>
      <c r="D23" s="57">
        <v>19</v>
      </c>
      <c r="E23" s="57">
        <v>39</v>
      </c>
      <c r="F23" s="57">
        <v>145</v>
      </c>
      <c r="G23" s="57">
        <v>10.8</v>
      </c>
      <c r="I23" s="44">
        <f t="shared" si="0"/>
        <v>515000000</v>
      </c>
    </row>
    <row r="24" spans="1:9" ht="46.2">
      <c r="A24" s="55">
        <v>20</v>
      </c>
      <c r="B24" s="16" t="s">
        <v>311</v>
      </c>
      <c r="C24" s="57">
        <v>495</v>
      </c>
      <c r="D24" s="57">
        <v>16</v>
      </c>
      <c r="E24" s="57">
        <v>2</v>
      </c>
      <c r="F24" s="57">
        <v>124</v>
      </c>
      <c r="G24" s="57">
        <v>8</v>
      </c>
      <c r="I24" s="44">
        <f t="shared" si="0"/>
        <v>495000000</v>
      </c>
    </row>
    <row r="25" spans="1:9" ht="46.2">
      <c r="A25" s="55">
        <v>21</v>
      </c>
      <c r="B25" s="16" t="s">
        <v>307</v>
      </c>
      <c r="C25" s="57">
        <v>485</v>
      </c>
      <c r="D25" s="57">
        <v>22</v>
      </c>
      <c r="E25" s="57">
        <v>27</v>
      </c>
      <c r="F25" s="57">
        <v>122</v>
      </c>
      <c r="G25" s="57">
        <v>7</v>
      </c>
      <c r="I25" s="44">
        <f t="shared" si="0"/>
        <v>485000000</v>
      </c>
    </row>
    <row r="26" spans="1:9" ht="46.2">
      <c r="A26" s="55">
        <v>22</v>
      </c>
      <c r="B26" s="16" t="s">
        <v>313</v>
      </c>
      <c r="C26" s="57">
        <v>475</v>
      </c>
      <c r="D26" s="57">
        <v>24</v>
      </c>
      <c r="E26" s="57">
        <v>32</v>
      </c>
      <c r="F26" s="57">
        <v>121</v>
      </c>
      <c r="G26" s="57">
        <v>11.6</v>
      </c>
      <c r="I26" s="44">
        <f t="shared" si="0"/>
        <v>475000000</v>
      </c>
    </row>
    <row r="27" spans="1:9" ht="46.2">
      <c r="A27" s="55">
        <v>23</v>
      </c>
      <c r="B27" s="16" t="s">
        <v>319</v>
      </c>
      <c r="C27" s="57">
        <v>469</v>
      </c>
      <c r="D27" s="57">
        <v>12</v>
      </c>
      <c r="E27" s="57">
        <v>32</v>
      </c>
      <c r="F27" s="57">
        <v>117</v>
      </c>
      <c r="G27" s="57">
        <v>-3.8</v>
      </c>
      <c r="I27" s="44">
        <f t="shared" si="0"/>
        <v>469000000</v>
      </c>
    </row>
    <row r="28" spans="1:9" ht="46.2">
      <c r="A28" s="55">
        <v>24</v>
      </c>
      <c r="B28" s="16" t="s">
        <v>315</v>
      </c>
      <c r="C28" s="57">
        <v>453</v>
      </c>
      <c r="D28" s="57">
        <v>20</v>
      </c>
      <c r="E28" s="57">
        <v>39</v>
      </c>
      <c r="F28" s="57">
        <v>126</v>
      </c>
      <c r="G28" s="57">
        <v>11.2</v>
      </c>
      <c r="I28" s="44">
        <f t="shared" si="0"/>
        <v>453000000</v>
      </c>
    </row>
    <row r="29" spans="1:9" ht="46.2">
      <c r="A29" s="55">
        <v>25</v>
      </c>
      <c r="B29" s="16" t="s">
        <v>312</v>
      </c>
      <c r="C29" s="57">
        <v>450</v>
      </c>
      <c r="D29" s="57">
        <v>12</v>
      </c>
      <c r="E29" s="57">
        <v>41</v>
      </c>
      <c r="F29" s="57">
        <v>139</v>
      </c>
      <c r="G29" s="57">
        <v>10.3</v>
      </c>
      <c r="I29" s="44">
        <f t="shared" si="0"/>
        <v>450000000</v>
      </c>
    </row>
    <row r="30" spans="1:9" ht="46.2">
      <c r="A30" s="55">
        <v>26</v>
      </c>
      <c r="B30" s="16" t="s">
        <v>318</v>
      </c>
      <c r="C30" s="57">
        <v>430</v>
      </c>
      <c r="D30" s="57">
        <v>18</v>
      </c>
      <c r="E30" s="57">
        <v>23</v>
      </c>
      <c r="F30" s="57">
        <v>116</v>
      </c>
      <c r="G30" s="57">
        <v>-2.7</v>
      </c>
      <c r="I30" s="44">
        <f t="shared" si="0"/>
        <v>430000000</v>
      </c>
    </row>
    <row r="31" spans="1:9" ht="46.2">
      <c r="A31" s="55">
        <v>27</v>
      </c>
      <c r="B31" s="16" t="s">
        <v>314</v>
      </c>
      <c r="C31" s="57">
        <v>425</v>
      </c>
      <c r="D31" s="57">
        <v>34</v>
      </c>
      <c r="E31" s="57">
        <v>55</v>
      </c>
      <c r="F31" s="57">
        <v>119</v>
      </c>
      <c r="G31" s="57">
        <v>-3.6</v>
      </c>
      <c r="I31" s="44">
        <f t="shared" si="0"/>
        <v>425000000</v>
      </c>
    </row>
    <row r="32" spans="1:9" ht="46.2">
      <c r="A32" s="55">
        <v>28</v>
      </c>
      <c r="B32" s="16" t="s">
        <v>321</v>
      </c>
      <c r="C32" s="57">
        <v>420</v>
      </c>
      <c r="D32" s="57">
        <v>24</v>
      </c>
      <c r="E32" s="57">
        <v>30</v>
      </c>
      <c r="F32" s="57">
        <v>116</v>
      </c>
      <c r="G32" s="57">
        <v>11.2</v>
      </c>
      <c r="I32" s="44">
        <f t="shared" si="0"/>
        <v>420000000</v>
      </c>
    </row>
    <row r="33" spans="1:9" ht="46.2">
      <c r="A33" s="55">
        <v>29</v>
      </c>
      <c r="B33" s="16" t="s">
        <v>467</v>
      </c>
      <c r="C33" s="57">
        <v>410</v>
      </c>
      <c r="D33" s="57">
        <v>30</v>
      </c>
      <c r="E33" s="57">
        <v>37</v>
      </c>
      <c r="F33" s="57">
        <v>115</v>
      </c>
      <c r="G33" s="57">
        <v>7</v>
      </c>
      <c r="I33" s="44">
        <f t="shared" si="0"/>
        <v>410000000</v>
      </c>
    </row>
    <row r="34" spans="1:9" ht="46.2">
      <c r="A34" s="55">
        <v>30</v>
      </c>
      <c r="B34" s="16" t="s">
        <v>320</v>
      </c>
      <c r="C34" s="57">
        <v>405</v>
      </c>
      <c r="D34" s="57">
        <v>30</v>
      </c>
      <c r="E34" s="57">
        <v>19</v>
      </c>
      <c r="F34" s="57">
        <v>109</v>
      </c>
      <c r="G34" s="57">
        <v>11.5</v>
      </c>
      <c r="I34" s="44">
        <f t="shared" si="0"/>
        <v>405000000</v>
      </c>
    </row>
    <row r="36" spans="1:9">
      <c r="A36" s="52" t="s">
        <v>472</v>
      </c>
    </row>
    <row r="37" spans="1:9">
      <c r="A37" s="52" t="s">
        <v>447</v>
      </c>
    </row>
    <row r="38" spans="1:9">
      <c r="A38" s="52" t="s">
        <v>448</v>
      </c>
    </row>
    <row r="39" spans="1:9">
      <c r="A39" s="52" t="s">
        <v>449</v>
      </c>
    </row>
    <row r="40" spans="1:9">
      <c r="A40" s="52" t="s">
        <v>450</v>
      </c>
    </row>
    <row r="41" spans="1:9">
      <c r="A41" s="52" t="s">
        <v>451</v>
      </c>
    </row>
    <row r="42" spans="1:9">
      <c r="A42" s="52" t="s">
        <v>452</v>
      </c>
    </row>
    <row r="43" spans="1:9">
      <c r="A43" s="52" t="s">
        <v>473</v>
      </c>
    </row>
    <row r="44" spans="1:9">
      <c r="A44" s="52" t="s">
        <v>454</v>
      </c>
    </row>
    <row r="45" spans="1:9">
      <c r="A45" s="52" t="s">
        <v>455</v>
      </c>
    </row>
    <row r="46" spans="1:9">
      <c r="A46" s="52" t="s">
        <v>456</v>
      </c>
    </row>
    <row r="47" spans="1:9">
      <c r="A47" s="52" t="s">
        <v>457</v>
      </c>
    </row>
    <row r="48" spans="1:9">
      <c r="A48" s="52" t="s">
        <v>458</v>
      </c>
    </row>
    <row r="49" spans="1:1">
      <c r="A49" s="52" t="s">
        <v>459</v>
      </c>
    </row>
    <row r="50" spans="1:1">
      <c r="A50" s="52" t="s">
        <v>460</v>
      </c>
    </row>
  </sheetData>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defaultColWidth="11.19921875" defaultRowHeight="15.6"/>
  <cols>
    <col min="9" max="9" width="17.296875" bestFit="1" customWidth="1"/>
  </cols>
  <sheetData>
    <row r="1" spans="1:9">
      <c r="A1" t="s">
        <v>474</v>
      </c>
    </row>
    <row r="3" spans="1:9">
      <c r="A3" s="53" t="s">
        <v>225</v>
      </c>
      <c r="B3" s="54" t="s">
        <v>325</v>
      </c>
      <c r="C3" s="54" t="s">
        <v>462</v>
      </c>
      <c r="D3" s="54" t="s">
        <v>463</v>
      </c>
      <c r="E3" s="54" t="s">
        <v>464</v>
      </c>
      <c r="F3" s="54" t="s">
        <v>465</v>
      </c>
      <c r="G3" s="54" t="s">
        <v>466</v>
      </c>
    </row>
    <row r="4" spans="1:9" ht="46.2">
      <c r="A4" s="55">
        <v>1</v>
      </c>
      <c r="B4" s="16" t="s">
        <v>291</v>
      </c>
      <c r="C4" s="56">
        <v>1100</v>
      </c>
      <c r="D4" s="57">
        <v>41</v>
      </c>
      <c r="E4" s="57">
        <v>0</v>
      </c>
      <c r="F4" s="57">
        <v>243</v>
      </c>
      <c r="G4" s="57">
        <v>83.2</v>
      </c>
      <c r="I4" s="44">
        <f>C4*1000000</f>
        <v>1100000000</v>
      </c>
    </row>
    <row r="5" spans="1:9" ht="46.2">
      <c r="A5" s="55">
        <v>2</v>
      </c>
      <c r="B5" s="16" t="s">
        <v>292</v>
      </c>
      <c r="C5" s="56">
        <v>1000</v>
      </c>
      <c r="D5" s="57">
        <v>11</v>
      </c>
      <c r="E5" s="57">
        <v>11</v>
      </c>
      <c r="F5" s="57">
        <v>197</v>
      </c>
      <c r="G5" s="57">
        <v>47.8</v>
      </c>
      <c r="I5" s="44">
        <f t="shared" ref="I5:I33" si="0">C5*1000000</f>
        <v>1000000000</v>
      </c>
    </row>
    <row r="6" spans="1:9" ht="46.2">
      <c r="A6" s="55">
        <v>3</v>
      </c>
      <c r="B6" s="16" t="s">
        <v>293</v>
      </c>
      <c r="C6" s="57">
        <v>800</v>
      </c>
      <c r="D6" s="57">
        <v>33</v>
      </c>
      <c r="E6" s="57">
        <v>7</v>
      </c>
      <c r="F6" s="57">
        <v>162</v>
      </c>
      <c r="G6" s="57">
        <v>34.200000000000003</v>
      </c>
      <c r="I6" s="44">
        <f t="shared" si="0"/>
        <v>800000000</v>
      </c>
    </row>
    <row r="7" spans="1:9" ht="46.2">
      <c r="A7" s="55">
        <v>4</v>
      </c>
      <c r="B7" s="16" t="s">
        <v>294</v>
      </c>
      <c r="C7" s="57">
        <v>730</v>
      </c>
      <c r="D7" s="57">
        <v>51</v>
      </c>
      <c r="E7" s="57">
        <v>22</v>
      </c>
      <c r="F7" s="57">
        <v>143</v>
      </c>
      <c r="G7" s="57">
        <v>18.7</v>
      </c>
      <c r="I7" s="44">
        <f t="shared" si="0"/>
        <v>730000000</v>
      </c>
    </row>
    <row r="8" spans="1:9" ht="46.2">
      <c r="A8" s="55">
        <v>5</v>
      </c>
      <c r="B8" s="16" t="s">
        <v>300</v>
      </c>
      <c r="C8" s="57">
        <v>685</v>
      </c>
      <c r="D8" s="57">
        <v>38</v>
      </c>
      <c r="E8" s="57">
        <v>29</v>
      </c>
      <c r="F8" s="57">
        <v>137</v>
      </c>
      <c r="G8" s="57">
        <v>13</v>
      </c>
      <c r="I8" s="44">
        <f t="shared" si="0"/>
        <v>685000000</v>
      </c>
    </row>
    <row r="9" spans="1:9" ht="46.2">
      <c r="A9" s="55">
        <v>6</v>
      </c>
      <c r="B9" s="16" t="s">
        <v>301</v>
      </c>
      <c r="C9" s="57">
        <v>625</v>
      </c>
      <c r="D9" s="57">
        <v>37</v>
      </c>
      <c r="E9" s="57">
        <v>18</v>
      </c>
      <c r="F9" s="57">
        <v>150</v>
      </c>
      <c r="G9" s="57">
        <v>14.9</v>
      </c>
      <c r="I9" s="44">
        <f t="shared" si="0"/>
        <v>625000000</v>
      </c>
    </row>
    <row r="10" spans="1:9" ht="46.2">
      <c r="A10" s="55">
        <v>7</v>
      </c>
      <c r="B10" s="16" t="s">
        <v>299</v>
      </c>
      <c r="C10" s="57">
        <v>568</v>
      </c>
      <c r="D10" s="57">
        <v>25</v>
      </c>
      <c r="E10" s="57">
        <v>18</v>
      </c>
      <c r="F10" s="57">
        <v>135</v>
      </c>
      <c r="G10" s="57">
        <v>26.6</v>
      </c>
      <c r="I10" s="44">
        <f t="shared" si="0"/>
        <v>568000000</v>
      </c>
    </row>
    <row r="11" spans="1:9" ht="46.2">
      <c r="A11" s="55">
        <v>8</v>
      </c>
      <c r="B11" s="16" t="s">
        <v>296</v>
      </c>
      <c r="C11" s="57">
        <v>555</v>
      </c>
      <c r="D11" s="57">
        <v>23</v>
      </c>
      <c r="E11" s="57">
        <v>27</v>
      </c>
      <c r="F11" s="57">
        <v>127</v>
      </c>
      <c r="G11" s="57">
        <v>29.1</v>
      </c>
      <c r="I11" s="44">
        <f t="shared" si="0"/>
        <v>555000000</v>
      </c>
    </row>
    <row r="12" spans="1:9" ht="46.2">
      <c r="A12" s="55">
        <v>9</v>
      </c>
      <c r="B12" s="16" t="s">
        <v>297</v>
      </c>
      <c r="C12" s="57">
        <v>530</v>
      </c>
      <c r="D12" s="57">
        <v>48</v>
      </c>
      <c r="E12" s="57">
        <v>53</v>
      </c>
      <c r="F12" s="57">
        <v>84</v>
      </c>
      <c r="G12" s="57">
        <v>-16.600000000000001</v>
      </c>
      <c r="I12" s="44">
        <f t="shared" si="0"/>
        <v>530000000</v>
      </c>
    </row>
    <row r="13" spans="1:9" ht="46.2">
      <c r="A13" s="55">
        <v>10</v>
      </c>
      <c r="B13" s="16" t="s">
        <v>302</v>
      </c>
      <c r="C13" s="57">
        <v>527</v>
      </c>
      <c r="D13" s="57">
        <v>26</v>
      </c>
      <c r="E13" s="57">
        <v>9</v>
      </c>
      <c r="F13" s="57">
        <v>135</v>
      </c>
      <c r="G13" s="57">
        <v>14.7</v>
      </c>
      <c r="I13" s="44">
        <f t="shared" si="0"/>
        <v>527000000</v>
      </c>
    </row>
    <row r="14" spans="1:9" ht="46.2">
      <c r="A14" s="55">
        <v>11</v>
      </c>
      <c r="B14" s="16" t="s">
        <v>308</v>
      </c>
      <c r="C14" s="57">
        <v>525</v>
      </c>
      <c r="D14" s="57">
        <v>75</v>
      </c>
      <c r="E14" s="57">
        <v>19</v>
      </c>
      <c r="F14" s="57">
        <v>96</v>
      </c>
      <c r="G14" s="57">
        <v>2.6</v>
      </c>
      <c r="I14" s="44">
        <f t="shared" si="0"/>
        <v>525000000</v>
      </c>
    </row>
    <row r="15" spans="1:9" ht="46.2">
      <c r="A15" s="55">
        <v>12</v>
      </c>
      <c r="B15" s="16" t="s">
        <v>77</v>
      </c>
      <c r="C15" s="57">
        <v>475</v>
      </c>
      <c r="D15" s="57">
        <v>36</v>
      </c>
      <c r="E15" s="57">
        <v>29</v>
      </c>
      <c r="F15" s="57">
        <v>127</v>
      </c>
      <c r="G15" s="57">
        <v>29.9</v>
      </c>
      <c r="I15" s="44">
        <f t="shared" si="0"/>
        <v>475000000</v>
      </c>
    </row>
    <row r="16" spans="1:9" ht="46.2">
      <c r="A16" s="55">
        <v>13</v>
      </c>
      <c r="B16" s="16" t="s">
        <v>304</v>
      </c>
      <c r="C16" s="57">
        <v>474</v>
      </c>
      <c r="D16" s="57">
        <v>20</v>
      </c>
      <c r="E16" s="57">
        <v>39</v>
      </c>
      <c r="F16" s="57">
        <v>121</v>
      </c>
      <c r="G16" s="57">
        <v>13</v>
      </c>
      <c r="I16" s="44">
        <f t="shared" si="0"/>
        <v>474000000</v>
      </c>
    </row>
    <row r="17" spans="1:9" ht="46.2">
      <c r="A17" s="55">
        <v>14</v>
      </c>
      <c r="B17" s="16" t="s">
        <v>309</v>
      </c>
      <c r="C17" s="57">
        <v>470</v>
      </c>
      <c r="D17" s="57">
        <v>22</v>
      </c>
      <c r="E17" s="57">
        <v>26</v>
      </c>
      <c r="F17" s="57">
        <v>126</v>
      </c>
      <c r="G17" s="57">
        <v>12</v>
      </c>
      <c r="I17" s="44">
        <f t="shared" si="0"/>
        <v>470000000</v>
      </c>
    </row>
    <row r="18" spans="1:9" ht="46.2">
      <c r="A18" s="55">
        <v>15</v>
      </c>
      <c r="B18" s="16" t="s">
        <v>306</v>
      </c>
      <c r="C18" s="57">
        <v>457</v>
      </c>
      <c r="D18" s="57">
        <v>24</v>
      </c>
      <c r="E18" s="57">
        <v>23</v>
      </c>
      <c r="F18" s="57">
        <v>117</v>
      </c>
      <c r="G18" s="57">
        <v>-10.1</v>
      </c>
      <c r="I18" s="44">
        <f t="shared" si="0"/>
        <v>457000000</v>
      </c>
    </row>
    <row r="19" spans="1:9" ht="46.2">
      <c r="A19" s="55">
        <v>16</v>
      </c>
      <c r="B19" s="16" t="s">
        <v>303</v>
      </c>
      <c r="C19" s="57">
        <v>434</v>
      </c>
      <c r="D19" s="57">
        <v>32</v>
      </c>
      <c r="E19" s="57">
        <v>46</v>
      </c>
      <c r="F19" s="57">
        <v>128</v>
      </c>
      <c r="G19" s="57">
        <v>18.600000000000001</v>
      </c>
      <c r="I19" s="44">
        <f t="shared" si="0"/>
        <v>434000000</v>
      </c>
    </row>
    <row r="20" spans="1:9" ht="46.2">
      <c r="A20" s="55">
        <v>17</v>
      </c>
      <c r="B20" s="16" t="s">
        <v>310</v>
      </c>
      <c r="C20" s="57">
        <v>432</v>
      </c>
      <c r="D20" s="57">
        <v>29</v>
      </c>
      <c r="E20" s="57">
        <v>0</v>
      </c>
      <c r="F20" s="57">
        <v>111</v>
      </c>
      <c r="G20" s="57">
        <v>12.1</v>
      </c>
      <c r="I20" s="44">
        <f t="shared" si="0"/>
        <v>432000000</v>
      </c>
    </row>
    <row r="21" spans="1:9" ht="46.2">
      <c r="A21" s="55">
        <v>18</v>
      </c>
      <c r="B21" s="16" t="s">
        <v>295</v>
      </c>
      <c r="C21" s="57">
        <v>430</v>
      </c>
      <c r="D21" s="57">
        <v>33</v>
      </c>
      <c r="E21" s="57">
        <v>0</v>
      </c>
      <c r="F21" s="57">
        <v>108</v>
      </c>
      <c r="G21" s="57">
        <v>9.1</v>
      </c>
      <c r="I21" s="44">
        <f t="shared" si="0"/>
        <v>430000000</v>
      </c>
    </row>
    <row r="22" spans="1:9" ht="46.2">
      <c r="A22" s="55">
        <v>19</v>
      </c>
      <c r="B22" s="16" t="s">
        <v>311</v>
      </c>
      <c r="C22" s="57">
        <v>427</v>
      </c>
      <c r="D22" s="57">
        <v>35</v>
      </c>
      <c r="E22" s="57">
        <v>5</v>
      </c>
      <c r="F22" s="57">
        <v>110</v>
      </c>
      <c r="G22" s="57">
        <v>12</v>
      </c>
      <c r="I22" s="44">
        <f t="shared" si="0"/>
        <v>427000000</v>
      </c>
    </row>
    <row r="23" spans="1:9" ht="46.2">
      <c r="A23" s="55">
        <v>20</v>
      </c>
      <c r="B23" s="16" t="s">
        <v>319</v>
      </c>
      <c r="C23" s="57">
        <v>418</v>
      </c>
      <c r="D23" s="57">
        <v>33</v>
      </c>
      <c r="E23" s="57">
        <v>36</v>
      </c>
      <c r="F23" s="57">
        <v>107</v>
      </c>
      <c r="G23" s="57">
        <v>-0.8</v>
      </c>
      <c r="I23" s="44">
        <f t="shared" si="0"/>
        <v>418000000</v>
      </c>
    </row>
    <row r="24" spans="1:9" ht="46.2">
      <c r="A24" s="55">
        <v>21</v>
      </c>
      <c r="B24" s="16" t="s">
        <v>305</v>
      </c>
      <c r="C24" s="57">
        <v>405</v>
      </c>
      <c r="D24" s="57">
        <v>6</v>
      </c>
      <c r="E24" s="57">
        <v>40</v>
      </c>
      <c r="F24" s="57">
        <v>121</v>
      </c>
      <c r="G24" s="57">
        <v>18.8</v>
      </c>
      <c r="I24" s="44">
        <f t="shared" si="0"/>
        <v>405000000</v>
      </c>
    </row>
    <row r="25" spans="1:9" ht="46.2">
      <c r="A25" s="55">
        <v>22</v>
      </c>
      <c r="B25" s="16" t="s">
        <v>312</v>
      </c>
      <c r="C25" s="57">
        <v>400</v>
      </c>
      <c r="D25" s="57">
        <v>20</v>
      </c>
      <c r="E25" s="57">
        <v>46</v>
      </c>
      <c r="F25" s="57">
        <v>125</v>
      </c>
      <c r="G25" s="57">
        <v>7.7</v>
      </c>
      <c r="I25" s="44">
        <f t="shared" si="0"/>
        <v>400000000</v>
      </c>
    </row>
    <row r="26" spans="1:9" ht="46.2">
      <c r="A26" s="55">
        <v>23</v>
      </c>
      <c r="B26" s="16" t="s">
        <v>307</v>
      </c>
      <c r="C26" s="57">
        <v>397</v>
      </c>
      <c r="D26" s="57">
        <v>21</v>
      </c>
      <c r="E26" s="57">
        <v>33</v>
      </c>
      <c r="F26" s="57">
        <v>102</v>
      </c>
      <c r="G26" s="57">
        <v>1.7</v>
      </c>
      <c r="I26" s="44">
        <f t="shared" si="0"/>
        <v>397000000</v>
      </c>
    </row>
    <row r="27" spans="1:9" ht="46.2">
      <c r="A27" s="55">
        <v>24</v>
      </c>
      <c r="B27" s="16" t="s">
        <v>313</v>
      </c>
      <c r="C27" s="57">
        <v>383</v>
      </c>
      <c r="D27" s="57">
        <v>35</v>
      </c>
      <c r="E27" s="57">
        <v>39</v>
      </c>
      <c r="F27" s="57">
        <v>98</v>
      </c>
      <c r="G27" s="57">
        <v>10.9</v>
      </c>
      <c r="I27" s="44">
        <f t="shared" si="0"/>
        <v>383000000</v>
      </c>
    </row>
    <row r="28" spans="1:9" ht="46.2">
      <c r="A28" s="55">
        <v>25</v>
      </c>
      <c r="B28" s="16" t="s">
        <v>315</v>
      </c>
      <c r="C28" s="57">
        <v>377</v>
      </c>
      <c r="D28" s="57">
        <v>40</v>
      </c>
      <c r="E28" s="57">
        <v>29</v>
      </c>
      <c r="F28" s="57">
        <v>96</v>
      </c>
      <c r="G28" s="57">
        <v>-12.5</v>
      </c>
      <c r="I28" s="44">
        <f t="shared" si="0"/>
        <v>377000000</v>
      </c>
    </row>
    <row r="29" spans="1:9" ht="46.2">
      <c r="A29" s="55">
        <v>26</v>
      </c>
      <c r="B29" s="16" t="s">
        <v>318</v>
      </c>
      <c r="C29" s="57">
        <v>364</v>
      </c>
      <c r="D29" s="57">
        <v>34</v>
      </c>
      <c r="E29" s="57">
        <v>21</v>
      </c>
      <c r="F29" s="57">
        <v>96</v>
      </c>
      <c r="G29" s="57">
        <v>-4.5</v>
      </c>
      <c r="I29" s="44">
        <f t="shared" si="0"/>
        <v>364000000</v>
      </c>
    </row>
    <row r="30" spans="1:9" ht="46.2">
      <c r="A30" s="55">
        <v>27</v>
      </c>
      <c r="B30" s="16" t="s">
        <v>322</v>
      </c>
      <c r="C30" s="57">
        <v>340</v>
      </c>
      <c r="D30" s="57">
        <v>19</v>
      </c>
      <c r="E30" s="57">
        <v>37</v>
      </c>
      <c r="F30" s="57">
        <v>100</v>
      </c>
      <c r="G30" s="57">
        <v>3.3</v>
      </c>
      <c r="I30" s="44">
        <f t="shared" si="0"/>
        <v>340000000</v>
      </c>
    </row>
    <row r="31" spans="1:9" ht="46.2">
      <c r="A31" s="55">
        <v>28</v>
      </c>
      <c r="B31" s="16" t="s">
        <v>314</v>
      </c>
      <c r="C31" s="57">
        <v>316</v>
      </c>
      <c r="D31" s="57">
        <v>17</v>
      </c>
      <c r="E31" s="57">
        <v>75</v>
      </c>
      <c r="F31" s="57">
        <v>99</v>
      </c>
      <c r="G31" s="57">
        <v>-18.7</v>
      </c>
      <c r="I31" s="44">
        <f t="shared" si="0"/>
        <v>316000000</v>
      </c>
    </row>
    <row r="32" spans="1:9" ht="46.2">
      <c r="A32" s="55">
        <v>29</v>
      </c>
      <c r="B32" s="16" t="s">
        <v>467</v>
      </c>
      <c r="C32" s="57">
        <v>315</v>
      </c>
      <c r="D32" s="57">
        <v>14</v>
      </c>
      <c r="E32" s="57">
        <v>48</v>
      </c>
      <c r="F32" s="57">
        <v>93</v>
      </c>
      <c r="G32" s="57">
        <v>-13.3</v>
      </c>
      <c r="I32" s="44">
        <f t="shared" si="0"/>
        <v>315000000</v>
      </c>
    </row>
    <row r="33" spans="1:9" ht="46.2">
      <c r="A33" s="55">
        <v>30</v>
      </c>
      <c r="B33" s="16" t="s">
        <v>320</v>
      </c>
      <c r="C33" s="57">
        <v>312</v>
      </c>
      <c r="D33" s="57">
        <v>16</v>
      </c>
      <c r="E33" s="57">
        <v>18</v>
      </c>
      <c r="F33" s="57">
        <v>87</v>
      </c>
      <c r="G33" s="57">
        <v>-0.5</v>
      </c>
      <c r="I33" s="44">
        <f t="shared" si="0"/>
        <v>312000000</v>
      </c>
    </row>
    <row r="35" spans="1:9">
      <c r="A35" s="52" t="s">
        <v>475</v>
      </c>
    </row>
    <row r="36" spans="1:9">
      <c r="A36" s="52" t="s">
        <v>476</v>
      </c>
    </row>
    <row r="37" spans="1:9">
      <c r="A37" s="52" t="s">
        <v>477</v>
      </c>
    </row>
    <row r="38" spans="1:9">
      <c r="A38" s="52" t="s">
        <v>449</v>
      </c>
    </row>
    <row r="39" spans="1:9">
      <c r="A39" s="52" t="s">
        <v>450</v>
      </c>
    </row>
    <row r="40" spans="1:9">
      <c r="A40" s="52" t="s">
        <v>451</v>
      </c>
    </row>
    <row r="41" spans="1:9">
      <c r="A41" s="52" t="s">
        <v>452</v>
      </c>
    </row>
    <row r="42" spans="1:9">
      <c r="A42" s="52" t="s">
        <v>478</v>
      </c>
    </row>
    <row r="43" spans="1:9">
      <c r="A43" s="52" t="s">
        <v>454</v>
      </c>
    </row>
    <row r="44" spans="1:9">
      <c r="A44" s="52" t="s">
        <v>455</v>
      </c>
    </row>
    <row r="45" spans="1:9">
      <c r="A45" s="52" t="s">
        <v>456</v>
      </c>
    </row>
    <row r="46" spans="1:9">
      <c r="A46" s="52" t="s">
        <v>457</v>
      </c>
    </row>
    <row r="47" spans="1:9">
      <c r="A47" s="52" t="s">
        <v>458</v>
      </c>
    </row>
    <row r="48" spans="1:9">
      <c r="A48" s="52" t="s">
        <v>459</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s>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11.19921875" defaultRowHeight="15.6"/>
  <cols>
    <col min="10" max="10" width="16.19921875" bestFit="1" customWidth="1"/>
  </cols>
  <sheetData>
    <row r="1" spans="1:10">
      <c r="A1" t="s">
        <v>479</v>
      </c>
    </row>
    <row r="3" spans="1:10">
      <c r="A3" s="53" t="s">
        <v>225</v>
      </c>
      <c r="B3" s="54" t="s">
        <v>325</v>
      </c>
      <c r="C3" s="54" t="s">
        <v>462</v>
      </c>
      <c r="D3" s="54" t="s">
        <v>463</v>
      </c>
      <c r="E3" s="54" t="s">
        <v>464</v>
      </c>
      <c r="F3" s="54" t="s">
        <v>465</v>
      </c>
      <c r="G3" s="54" t="s">
        <v>466</v>
      </c>
    </row>
    <row r="4" spans="1:10" ht="46.2">
      <c r="A4" s="55">
        <v>1</v>
      </c>
      <c r="B4" s="58" t="s">
        <v>292</v>
      </c>
      <c r="C4" s="57">
        <v>900</v>
      </c>
      <c r="D4" s="57">
        <v>40</v>
      </c>
      <c r="E4" s="57">
        <v>13</v>
      </c>
      <c r="F4" s="57">
        <v>208</v>
      </c>
      <c r="G4" s="57">
        <v>24.3</v>
      </c>
      <c r="J4" s="44">
        <f>C4*1000000</f>
        <v>900000000</v>
      </c>
    </row>
    <row r="5" spans="1:10" ht="46.2">
      <c r="A5" s="55">
        <v>2</v>
      </c>
      <c r="B5" s="58" t="s">
        <v>291</v>
      </c>
      <c r="C5" s="57">
        <v>780</v>
      </c>
      <c r="D5" s="57">
        <v>19</v>
      </c>
      <c r="E5" s="57">
        <v>0</v>
      </c>
      <c r="F5" s="57">
        <v>244</v>
      </c>
      <c r="G5" s="57">
        <v>74.900000000000006</v>
      </c>
      <c r="J5" s="44">
        <f t="shared" ref="J5:J33" si="0">C5*1000000</f>
        <v>780000000</v>
      </c>
    </row>
    <row r="6" spans="1:10" ht="46.2">
      <c r="A6" s="55">
        <v>3</v>
      </c>
      <c r="B6" s="58" t="s">
        <v>293</v>
      </c>
      <c r="C6" s="57">
        <v>600</v>
      </c>
      <c r="D6" s="57">
        <v>17</v>
      </c>
      <c r="E6" s="57">
        <v>9</v>
      </c>
      <c r="F6" s="57">
        <v>185</v>
      </c>
      <c r="G6" s="57">
        <v>59.4</v>
      </c>
      <c r="J6" s="44">
        <f t="shared" si="0"/>
        <v>600000000</v>
      </c>
    </row>
    <row r="7" spans="1:10" ht="46.2">
      <c r="A7" s="55">
        <v>4</v>
      </c>
      <c r="B7" s="58" t="s">
        <v>300</v>
      </c>
      <c r="C7" s="57">
        <v>497</v>
      </c>
      <c r="D7" s="57">
        <v>13</v>
      </c>
      <c r="E7" s="57">
        <v>40</v>
      </c>
      <c r="F7" s="57">
        <v>166</v>
      </c>
      <c r="G7" s="57">
        <v>-3.9</v>
      </c>
      <c r="J7" s="44">
        <f t="shared" si="0"/>
        <v>497000000</v>
      </c>
    </row>
    <row r="8" spans="1:10" ht="46.2">
      <c r="A8" s="55">
        <v>5</v>
      </c>
      <c r="B8" s="58" t="s">
        <v>294</v>
      </c>
      <c r="C8" s="57">
        <v>482</v>
      </c>
      <c r="D8" s="57">
        <v>7</v>
      </c>
      <c r="E8" s="57">
        <v>37</v>
      </c>
      <c r="F8" s="57">
        <v>146</v>
      </c>
      <c r="G8" s="57">
        <v>7.7</v>
      </c>
      <c r="J8" s="44">
        <f t="shared" si="0"/>
        <v>482000000</v>
      </c>
    </row>
    <row r="9" spans="1:10" ht="46.2">
      <c r="A9" s="55">
        <v>6</v>
      </c>
      <c r="B9" s="58" t="s">
        <v>301</v>
      </c>
      <c r="C9" s="57">
        <v>457</v>
      </c>
      <c r="D9" s="57">
        <v>8</v>
      </c>
      <c r="E9" s="57">
        <v>34</v>
      </c>
      <c r="F9" s="57">
        <v>158</v>
      </c>
      <c r="G9" s="57">
        <v>26</v>
      </c>
      <c r="J9" s="44">
        <f t="shared" si="0"/>
        <v>457000000</v>
      </c>
    </row>
    <row r="10" spans="1:10" ht="46.2">
      <c r="A10" s="55">
        <v>7</v>
      </c>
      <c r="B10" s="58" t="s">
        <v>299</v>
      </c>
      <c r="C10" s="57">
        <v>453</v>
      </c>
      <c r="D10" s="57">
        <v>2</v>
      </c>
      <c r="E10" s="57">
        <v>22</v>
      </c>
      <c r="F10" s="57">
        <v>150</v>
      </c>
      <c r="G10" s="57">
        <v>17.899999999999999</v>
      </c>
      <c r="J10" s="44">
        <f t="shared" si="0"/>
        <v>453000000</v>
      </c>
    </row>
    <row r="11" spans="1:10" ht="46.2">
      <c r="A11" s="55">
        <v>8</v>
      </c>
      <c r="B11" s="58" t="s">
        <v>296</v>
      </c>
      <c r="C11" s="57">
        <v>450</v>
      </c>
      <c r="D11" s="57">
        <v>24</v>
      </c>
      <c r="E11" s="57">
        <v>33</v>
      </c>
      <c r="F11" s="57">
        <v>139</v>
      </c>
      <c r="G11" s="57">
        <v>22.2</v>
      </c>
      <c r="J11" s="44">
        <f t="shared" si="0"/>
        <v>450000000</v>
      </c>
    </row>
    <row r="12" spans="1:10" ht="46.2">
      <c r="A12" s="55">
        <v>9</v>
      </c>
      <c r="B12" s="58" t="s">
        <v>302</v>
      </c>
      <c r="C12" s="57">
        <v>418</v>
      </c>
      <c r="D12" s="57">
        <v>3</v>
      </c>
      <c r="E12" s="57">
        <v>12</v>
      </c>
      <c r="F12" s="57">
        <v>139</v>
      </c>
      <c r="G12" s="57">
        <v>14.4</v>
      </c>
      <c r="J12" s="44">
        <f t="shared" si="0"/>
        <v>418000000</v>
      </c>
    </row>
    <row r="13" spans="1:10" ht="46.2">
      <c r="A13" s="55">
        <v>10</v>
      </c>
      <c r="B13" s="58" t="s">
        <v>304</v>
      </c>
      <c r="C13" s="57">
        <v>395</v>
      </c>
      <c r="D13" s="57">
        <v>-4</v>
      </c>
      <c r="E13" s="57">
        <v>47</v>
      </c>
      <c r="F13" s="57">
        <v>136</v>
      </c>
      <c r="G13" s="57">
        <v>13.1</v>
      </c>
      <c r="J13" s="44">
        <f t="shared" si="0"/>
        <v>395000000</v>
      </c>
    </row>
    <row r="14" spans="1:10" ht="46.2">
      <c r="A14" s="55">
        <v>11</v>
      </c>
      <c r="B14" s="58" t="s">
        <v>309</v>
      </c>
      <c r="C14" s="57">
        <v>385</v>
      </c>
      <c r="D14" s="57">
        <v>0</v>
      </c>
      <c r="E14" s="57">
        <v>31</v>
      </c>
      <c r="F14" s="57">
        <v>140</v>
      </c>
      <c r="G14" s="57">
        <v>-16</v>
      </c>
      <c r="J14" s="44">
        <f t="shared" si="0"/>
        <v>385000000</v>
      </c>
    </row>
    <row r="15" spans="1:10" ht="46.2">
      <c r="A15" s="55">
        <v>12</v>
      </c>
      <c r="B15" s="58" t="s">
        <v>305</v>
      </c>
      <c r="C15" s="57">
        <v>382</v>
      </c>
      <c r="D15" s="57">
        <v>-4</v>
      </c>
      <c r="E15" s="57">
        <v>34</v>
      </c>
      <c r="F15" s="57">
        <v>134</v>
      </c>
      <c r="G15" s="57">
        <v>7.4</v>
      </c>
      <c r="J15" s="44">
        <f t="shared" si="0"/>
        <v>382000000</v>
      </c>
    </row>
    <row r="16" spans="1:10" ht="46.2">
      <c r="A16" s="55">
        <v>13</v>
      </c>
      <c r="B16" s="58" t="s">
        <v>306</v>
      </c>
      <c r="C16" s="57">
        <v>370</v>
      </c>
      <c r="D16" s="57">
        <v>4</v>
      </c>
      <c r="E16" s="57">
        <v>28</v>
      </c>
      <c r="F16" s="57">
        <v>132</v>
      </c>
      <c r="G16" s="57">
        <v>-8.1</v>
      </c>
      <c r="J16" s="44">
        <f t="shared" si="0"/>
        <v>370000000</v>
      </c>
    </row>
    <row r="17" spans="1:10" ht="46.2">
      <c r="A17" s="55">
        <v>14</v>
      </c>
      <c r="B17" s="58" t="s">
        <v>480</v>
      </c>
      <c r="C17" s="57">
        <v>357</v>
      </c>
      <c r="D17" s="57">
        <v>14</v>
      </c>
      <c r="E17" s="57">
        <v>79</v>
      </c>
      <c r="F17" s="57">
        <v>89</v>
      </c>
      <c r="G17" s="57">
        <v>-23.6</v>
      </c>
      <c r="J17" s="44">
        <f t="shared" si="0"/>
        <v>357000000</v>
      </c>
    </row>
    <row r="18" spans="1:10" ht="46.2">
      <c r="A18" s="55">
        <v>15</v>
      </c>
      <c r="B18" s="58" t="s">
        <v>77</v>
      </c>
      <c r="C18" s="57">
        <v>348</v>
      </c>
      <c r="D18" s="57">
        <v>6</v>
      </c>
      <c r="E18" s="57">
        <v>40</v>
      </c>
      <c r="F18" s="57">
        <v>126</v>
      </c>
      <c r="G18" s="57">
        <v>24.5</v>
      </c>
      <c r="J18" s="44">
        <f t="shared" si="0"/>
        <v>348000000</v>
      </c>
    </row>
    <row r="19" spans="1:10" ht="46.2">
      <c r="A19" s="55">
        <v>16</v>
      </c>
      <c r="B19" s="58" t="s">
        <v>310</v>
      </c>
      <c r="C19" s="57">
        <v>335</v>
      </c>
      <c r="D19" s="57">
        <v>-2</v>
      </c>
      <c r="E19" s="57">
        <v>3</v>
      </c>
      <c r="F19" s="57">
        <v>120</v>
      </c>
      <c r="G19" s="57">
        <v>-16.399999999999999</v>
      </c>
      <c r="J19" s="44">
        <f t="shared" si="0"/>
        <v>335000000</v>
      </c>
    </row>
    <row r="20" spans="1:10" ht="46.2">
      <c r="A20" s="55">
        <v>17</v>
      </c>
      <c r="B20" s="58" t="s">
        <v>312</v>
      </c>
      <c r="C20" s="57">
        <v>332</v>
      </c>
      <c r="D20" s="57">
        <v>-8</v>
      </c>
      <c r="E20" s="57">
        <v>56</v>
      </c>
      <c r="F20" s="57">
        <v>141</v>
      </c>
      <c r="G20" s="57">
        <v>9.6999999999999993</v>
      </c>
      <c r="J20" s="44">
        <f t="shared" si="0"/>
        <v>332000000</v>
      </c>
    </row>
    <row r="21" spans="1:10" ht="46.2">
      <c r="A21" s="55">
        <v>18</v>
      </c>
      <c r="B21" s="58" t="s">
        <v>303</v>
      </c>
      <c r="C21" s="57">
        <v>329</v>
      </c>
      <c r="D21" s="57">
        <v>-7</v>
      </c>
      <c r="E21" s="57">
        <v>61</v>
      </c>
      <c r="F21" s="57">
        <v>149</v>
      </c>
      <c r="G21" s="57">
        <v>32.9</v>
      </c>
      <c r="J21" s="44">
        <f t="shared" si="0"/>
        <v>329000000</v>
      </c>
    </row>
    <row r="22" spans="1:10" ht="46.2">
      <c r="A22" s="55">
        <v>19</v>
      </c>
      <c r="B22" s="58" t="s">
        <v>307</v>
      </c>
      <c r="C22" s="57">
        <v>328</v>
      </c>
      <c r="D22" s="57">
        <v>2</v>
      </c>
      <c r="E22" s="57">
        <v>40</v>
      </c>
      <c r="F22" s="57">
        <v>109</v>
      </c>
      <c r="G22" s="57">
        <v>-3.4</v>
      </c>
      <c r="J22" s="44">
        <f t="shared" si="0"/>
        <v>328000000</v>
      </c>
    </row>
    <row r="23" spans="1:10" ht="46.2">
      <c r="A23" s="55">
        <v>20</v>
      </c>
      <c r="B23" s="58" t="s">
        <v>295</v>
      </c>
      <c r="C23" s="57">
        <v>324</v>
      </c>
      <c r="D23" s="57">
        <v>6</v>
      </c>
      <c r="E23" s="57">
        <v>0</v>
      </c>
      <c r="F23" s="57">
        <v>108</v>
      </c>
      <c r="G23" s="57">
        <v>9.4</v>
      </c>
      <c r="J23" s="44">
        <f t="shared" si="0"/>
        <v>324000000</v>
      </c>
    </row>
    <row r="24" spans="1:10" ht="46.2">
      <c r="A24" s="55">
        <v>21</v>
      </c>
      <c r="B24" s="58" t="s">
        <v>311</v>
      </c>
      <c r="C24" s="57">
        <v>316</v>
      </c>
      <c r="D24" s="57">
        <v>0</v>
      </c>
      <c r="E24" s="57">
        <v>8</v>
      </c>
      <c r="F24" s="57">
        <v>113</v>
      </c>
      <c r="G24" s="57">
        <v>-1.2</v>
      </c>
      <c r="J24" s="44">
        <f t="shared" si="0"/>
        <v>316000000</v>
      </c>
    </row>
    <row r="25" spans="1:10" ht="46.2">
      <c r="A25" s="55">
        <v>22</v>
      </c>
      <c r="B25" s="58" t="s">
        <v>319</v>
      </c>
      <c r="C25" s="57">
        <v>314</v>
      </c>
      <c r="D25" s="57">
        <v>-5</v>
      </c>
      <c r="E25" s="57">
        <v>48</v>
      </c>
      <c r="F25" s="57">
        <v>116</v>
      </c>
      <c r="G25" s="57">
        <v>-10.3</v>
      </c>
      <c r="J25" s="44">
        <f t="shared" si="0"/>
        <v>314000000</v>
      </c>
    </row>
    <row r="26" spans="1:10" ht="46.2">
      <c r="A26" s="55">
        <v>23</v>
      </c>
      <c r="B26" s="58" t="s">
        <v>308</v>
      </c>
      <c r="C26" s="57">
        <v>300</v>
      </c>
      <c r="D26" s="57">
        <v>2</v>
      </c>
      <c r="E26" s="57">
        <v>33</v>
      </c>
      <c r="F26" s="57">
        <v>104</v>
      </c>
      <c r="G26" s="57">
        <v>6.4</v>
      </c>
      <c r="J26" s="44">
        <f t="shared" si="0"/>
        <v>300000000</v>
      </c>
    </row>
    <row r="27" spans="1:10" ht="46.2">
      <c r="A27" s="55">
        <v>24</v>
      </c>
      <c r="B27" s="58" t="s">
        <v>322</v>
      </c>
      <c r="C27" s="57">
        <v>285</v>
      </c>
      <c r="D27" s="57">
        <v>2</v>
      </c>
      <c r="E27" s="57">
        <v>105</v>
      </c>
      <c r="F27" s="57">
        <v>109</v>
      </c>
      <c r="G27" s="57">
        <v>-2.7</v>
      </c>
      <c r="J27" s="44">
        <f t="shared" si="0"/>
        <v>285000000</v>
      </c>
    </row>
    <row r="28" spans="1:10" ht="46.2">
      <c r="A28" s="55">
        <v>25</v>
      </c>
      <c r="B28" s="58" t="s">
        <v>313</v>
      </c>
      <c r="C28" s="57">
        <v>283</v>
      </c>
      <c r="D28" s="57">
        <v>5</v>
      </c>
      <c r="E28" s="57">
        <v>53</v>
      </c>
      <c r="F28" s="57">
        <v>101</v>
      </c>
      <c r="G28" s="57">
        <v>-10.5</v>
      </c>
      <c r="J28" s="44">
        <f t="shared" si="0"/>
        <v>283000000</v>
      </c>
    </row>
    <row r="29" spans="1:10" ht="46.2">
      <c r="A29" s="55">
        <v>26</v>
      </c>
      <c r="B29" s="58" t="s">
        <v>467</v>
      </c>
      <c r="C29" s="57">
        <v>277</v>
      </c>
      <c r="D29" s="57">
        <v>-1</v>
      </c>
      <c r="E29" s="57">
        <v>54</v>
      </c>
      <c r="F29" s="57">
        <v>101</v>
      </c>
      <c r="G29" s="57">
        <v>-25.5</v>
      </c>
      <c r="J29" s="44">
        <f t="shared" si="0"/>
        <v>277000000</v>
      </c>
    </row>
    <row r="30" spans="1:10" ht="46.2">
      <c r="A30" s="55">
        <v>27</v>
      </c>
      <c r="B30" s="58" t="s">
        <v>318</v>
      </c>
      <c r="C30" s="57">
        <v>272</v>
      </c>
      <c r="D30" s="57">
        <v>3</v>
      </c>
      <c r="E30" s="57">
        <v>28</v>
      </c>
      <c r="F30" s="57">
        <v>97</v>
      </c>
      <c r="G30" s="57">
        <v>-6.8</v>
      </c>
      <c r="J30" s="44">
        <f t="shared" si="0"/>
        <v>272000000</v>
      </c>
    </row>
    <row r="31" spans="1:10" ht="46.2">
      <c r="A31" s="55">
        <v>28</v>
      </c>
      <c r="B31" s="58" t="s">
        <v>314</v>
      </c>
      <c r="C31" s="57">
        <v>270</v>
      </c>
      <c r="D31" s="57">
        <v>-8</v>
      </c>
      <c r="E31" s="57">
        <v>90</v>
      </c>
      <c r="F31" s="57">
        <v>109</v>
      </c>
      <c r="G31" s="57">
        <v>-14.7</v>
      </c>
      <c r="J31" s="44">
        <f t="shared" si="0"/>
        <v>270000000</v>
      </c>
    </row>
    <row r="32" spans="1:10" ht="46.2">
      <c r="A32" s="55">
        <v>29</v>
      </c>
      <c r="B32" s="58" t="s">
        <v>315</v>
      </c>
      <c r="C32" s="57">
        <v>269</v>
      </c>
      <c r="D32" s="57">
        <v>1</v>
      </c>
      <c r="E32" s="57">
        <v>56</v>
      </c>
      <c r="F32" s="57">
        <v>99</v>
      </c>
      <c r="G32" s="57">
        <v>-24.8</v>
      </c>
      <c r="J32" s="44">
        <f t="shared" si="0"/>
        <v>269000000</v>
      </c>
    </row>
    <row r="33" spans="1:10" ht="46.2">
      <c r="A33" s="55">
        <v>30</v>
      </c>
      <c r="B33" s="58" t="s">
        <v>320</v>
      </c>
      <c r="C33" s="57">
        <v>268</v>
      </c>
      <c r="D33" s="57">
        <v>4</v>
      </c>
      <c r="E33" s="57">
        <v>21</v>
      </c>
      <c r="F33" s="57">
        <v>92</v>
      </c>
      <c r="G33" s="57">
        <v>-7.6</v>
      </c>
      <c r="J33" s="44">
        <f t="shared" si="0"/>
        <v>268000000</v>
      </c>
    </row>
  </sheetData>
  <pageMargins left="0.75" right="0.75" top="1" bottom="1" header="0.5" footer="0.5"/>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defaultColWidth="12" defaultRowHeight="12.6"/>
  <cols>
    <col min="1" max="1" width="19" style="59" customWidth="1"/>
    <col min="2" max="2" width="21.19921875" style="59" customWidth="1"/>
    <col min="3" max="3" width="22.69921875" style="59" customWidth="1"/>
    <col min="4" max="4" width="15.69921875" style="59" customWidth="1"/>
    <col min="5" max="5" width="15.19921875" style="59" customWidth="1"/>
    <col min="6" max="6" width="25.19921875" style="59" customWidth="1"/>
    <col min="7" max="7" width="12" style="59"/>
    <col min="8" max="8" width="17.69921875" style="59" bestFit="1" customWidth="1"/>
    <col min="9" max="16384" width="12" style="59"/>
  </cols>
  <sheetData>
    <row r="1" spans="1:8">
      <c r="A1" s="59" t="s">
        <v>481</v>
      </c>
    </row>
    <row r="3" spans="1:8">
      <c r="A3" s="59" t="s">
        <v>482</v>
      </c>
      <c r="B3" s="59" t="s">
        <v>483</v>
      </c>
      <c r="C3" s="59" t="s">
        <v>484</v>
      </c>
      <c r="D3" s="59" t="s">
        <v>485</v>
      </c>
      <c r="E3" s="59" t="s">
        <v>486</v>
      </c>
      <c r="F3" s="59" t="s">
        <v>487</v>
      </c>
    </row>
    <row r="4" spans="1:8" ht="15.6">
      <c r="A4" t="s">
        <v>291</v>
      </c>
      <c r="B4" s="59">
        <v>655</v>
      </c>
      <c r="C4" s="59">
        <v>12</v>
      </c>
      <c r="D4" s="59">
        <v>0</v>
      </c>
      <c r="E4" s="59">
        <v>226</v>
      </c>
      <c r="F4" s="59">
        <v>64</v>
      </c>
      <c r="H4" s="60">
        <f>B4*1000000</f>
        <v>655000000</v>
      </c>
    </row>
    <row r="5" spans="1:8">
      <c r="A5" s="59" t="s">
        <v>488</v>
      </c>
      <c r="B5" s="59">
        <v>643</v>
      </c>
      <c r="C5" s="59">
        <v>6</v>
      </c>
      <c r="D5" s="59">
        <v>19</v>
      </c>
      <c r="E5" s="59">
        <v>214</v>
      </c>
      <c r="F5" s="59">
        <v>33.4</v>
      </c>
      <c r="H5" s="60">
        <f t="shared" ref="H5:H33" si="0">B5*1000000</f>
        <v>643000000</v>
      </c>
    </row>
    <row r="6" spans="1:8">
      <c r="A6" s="59" t="s">
        <v>489</v>
      </c>
      <c r="B6" s="59">
        <v>511</v>
      </c>
      <c r="C6" s="59">
        <v>0</v>
      </c>
      <c r="D6" s="59">
        <v>11</v>
      </c>
      <c r="E6" s="59">
        <v>169</v>
      </c>
      <c r="F6" s="59">
        <v>51.3</v>
      </c>
      <c r="H6" s="60">
        <f t="shared" si="0"/>
        <v>511000000</v>
      </c>
    </row>
    <row r="7" spans="1:8">
      <c r="A7" s="59" t="s">
        <v>490</v>
      </c>
      <c r="B7" s="59">
        <v>452</v>
      </c>
      <c r="C7" s="59">
        <v>5</v>
      </c>
      <c r="D7" s="59">
        <v>40</v>
      </c>
      <c r="E7" s="59">
        <v>151</v>
      </c>
      <c r="F7" s="59">
        <v>4.2</v>
      </c>
      <c r="H7" s="60">
        <f t="shared" si="0"/>
        <v>452000000</v>
      </c>
    </row>
    <row r="8" spans="1:8">
      <c r="A8" s="59" t="s">
        <v>491</v>
      </c>
      <c r="B8" s="59">
        <v>443</v>
      </c>
      <c r="C8" s="59">
        <v>-6</v>
      </c>
      <c r="D8" s="59">
        <v>16</v>
      </c>
      <c r="E8" s="59">
        <v>153</v>
      </c>
      <c r="F8" s="59">
        <v>35.9</v>
      </c>
      <c r="H8" s="60">
        <f t="shared" si="0"/>
        <v>443000000</v>
      </c>
    </row>
    <row r="9" spans="1:8">
      <c r="A9" s="59" t="s">
        <v>492</v>
      </c>
      <c r="B9" s="59">
        <v>438</v>
      </c>
      <c r="C9" s="59">
        <v>-2</v>
      </c>
      <c r="D9" s="59">
        <v>46</v>
      </c>
      <c r="E9" s="59">
        <v>146</v>
      </c>
      <c r="F9" s="59">
        <v>-7.8</v>
      </c>
      <c r="H9" s="60">
        <f t="shared" si="0"/>
        <v>438000000</v>
      </c>
    </row>
    <row r="10" spans="1:8">
      <c r="A10" s="59" t="s">
        <v>493</v>
      </c>
      <c r="B10" s="59">
        <v>425</v>
      </c>
      <c r="C10" s="59">
        <v>17</v>
      </c>
      <c r="D10" s="59">
        <v>38</v>
      </c>
      <c r="E10" s="59">
        <v>124</v>
      </c>
      <c r="F10" s="59">
        <v>-5.9</v>
      </c>
      <c r="H10" s="60">
        <f t="shared" si="0"/>
        <v>425000000</v>
      </c>
    </row>
    <row r="11" spans="1:8">
      <c r="A11" s="59" t="s">
        <v>494</v>
      </c>
      <c r="B11" s="59">
        <v>411</v>
      </c>
      <c r="C11" s="59">
        <v>-4</v>
      </c>
      <c r="D11" s="59">
        <v>45</v>
      </c>
      <c r="E11" s="59">
        <v>147</v>
      </c>
      <c r="F11" s="59">
        <v>20.399999999999999</v>
      </c>
      <c r="H11" s="60">
        <f t="shared" si="0"/>
        <v>411000000</v>
      </c>
    </row>
    <row r="12" spans="1:8">
      <c r="A12" s="59" t="s">
        <v>495</v>
      </c>
      <c r="B12" s="59">
        <v>404</v>
      </c>
      <c r="C12" s="59">
        <v>1</v>
      </c>
      <c r="D12" s="59">
        <v>10</v>
      </c>
      <c r="E12" s="59">
        <v>135</v>
      </c>
      <c r="F12" s="59">
        <v>-4.7</v>
      </c>
      <c r="H12" s="60">
        <f t="shared" si="0"/>
        <v>404000000</v>
      </c>
    </row>
    <row r="13" spans="1:8">
      <c r="A13" s="59" t="s">
        <v>496</v>
      </c>
      <c r="B13" s="59">
        <v>399</v>
      </c>
      <c r="C13" s="59">
        <v>3</v>
      </c>
      <c r="D13" s="59">
        <v>34</v>
      </c>
      <c r="E13" s="59">
        <v>138</v>
      </c>
      <c r="F13" s="59">
        <v>25.3</v>
      </c>
      <c r="H13" s="60">
        <f t="shared" si="0"/>
        <v>399000000</v>
      </c>
    </row>
    <row r="14" spans="1:8">
      <c r="A14" s="59" t="s">
        <v>497</v>
      </c>
      <c r="B14" s="59">
        <v>385</v>
      </c>
      <c r="C14" s="59">
        <v>6</v>
      </c>
      <c r="D14" s="59">
        <v>29</v>
      </c>
      <c r="E14" s="59">
        <v>108</v>
      </c>
      <c r="F14" s="59">
        <v>-23.1</v>
      </c>
      <c r="H14" s="60">
        <f t="shared" si="0"/>
        <v>385000000</v>
      </c>
    </row>
    <row r="15" spans="1:8">
      <c r="A15" s="59" t="s">
        <v>498</v>
      </c>
      <c r="B15" s="59">
        <v>363</v>
      </c>
      <c r="C15" s="59">
        <v>15</v>
      </c>
      <c r="D15" s="59">
        <v>41</v>
      </c>
      <c r="E15" s="59">
        <v>119</v>
      </c>
      <c r="F15" s="59">
        <v>14.3</v>
      </c>
      <c r="H15" s="60">
        <f t="shared" si="0"/>
        <v>363000000</v>
      </c>
    </row>
    <row r="16" spans="1:8">
      <c r="A16" s="59" t="s">
        <v>499</v>
      </c>
      <c r="B16" s="59">
        <v>360</v>
      </c>
      <c r="C16" s="59">
        <v>-25</v>
      </c>
      <c r="D16" s="59">
        <v>0</v>
      </c>
      <c r="E16" s="59">
        <v>147</v>
      </c>
      <c r="F16" s="59">
        <v>31.8</v>
      </c>
      <c r="H16" s="60">
        <f t="shared" si="0"/>
        <v>360000000</v>
      </c>
    </row>
    <row r="17" spans="1:8">
      <c r="A17" s="59" t="s">
        <v>500</v>
      </c>
      <c r="B17" s="59">
        <v>356</v>
      </c>
      <c r="C17" s="59">
        <v>5</v>
      </c>
      <c r="D17" s="59">
        <v>30</v>
      </c>
      <c r="E17" s="59">
        <v>127</v>
      </c>
      <c r="F17" s="59">
        <v>10.7</v>
      </c>
      <c r="H17" s="60">
        <f t="shared" si="0"/>
        <v>356000000</v>
      </c>
    </row>
    <row r="18" spans="1:8">
      <c r="A18" s="59" t="s">
        <v>501</v>
      </c>
      <c r="B18" s="59">
        <v>355</v>
      </c>
      <c r="C18" s="59">
        <v>-26</v>
      </c>
      <c r="D18" s="59">
        <v>56</v>
      </c>
      <c r="E18" s="59">
        <v>161</v>
      </c>
      <c r="F18" s="59">
        <v>2.6</v>
      </c>
      <c r="H18" s="60">
        <f t="shared" si="0"/>
        <v>355000000</v>
      </c>
    </row>
    <row r="19" spans="1:8">
      <c r="A19" s="59" t="s">
        <v>502</v>
      </c>
      <c r="B19" s="59">
        <v>343</v>
      </c>
      <c r="C19" s="59">
        <v>0</v>
      </c>
      <c r="D19" s="59">
        <v>5</v>
      </c>
      <c r="E19" s="59">
        <v>121</v>
      </c>
      <c r="F19" s="59">
        <v>-3.9</v>
      </c>
      <c r="H19" s="60">
        <f t="shared" si="0"/>
        <v>343000000</v>
      </c>
    </row>
    <row r="20" spans="1:8">
      <c r="A20" s="59" t="s">
        <v>503</v>
      </c>
      <c r="B20" s="59">
        <v>330</v>
      </c>
      <c r="C20" s="59">
        <v>-4</v>
      </c>
      <c r="D20" s="59">
        <v>23</v>
      </c>
      <c r="E20" s="59">
        <v>110</v>
      </c>
      <c r="F20" s="59">
        <v>-1.2</v>
      </c>
      <c r="H20" s="60">
        <f t="shared" si="0"/>
        <v>330000000</v>
      </c>
    </row>
    <row r="21" spans="1:8">
      <c r="A21" s="59" t="s">
        <v>504</v>
      </c>
      <c r="B21" s="59">
        <v>329</v>
      </c>
      <c r="C21" s="59">
        <v>6</v>
      </c>
      <c r="D21" s="59">
        <v>43</v>
      </c>
      <c r="E21" s="59">
        <v>118</v>
      </c>
      <c r="F21" s="59">
        <v>22.6</v>
      </c>
      <c r="H21" s="60">
        <f t="shared" si="0"/>
        <v>329000000</v>
      </c>
    </row>
    <row r="22" spans="1:8">
      <c r="A22" s="59" t="s">
        <v>505</v>
      </c>
      <c r="B22" s="59">
        <v>322</v>
      </c>
      <c r="C22" s="59">
        <v>3</v>
      </c>
      <c r="D22" s="59">
        <v>40</v>
      </c>
      <c r="E22" s="59">
        <v>107</v>
      </c>
      <c r="F22" s="59">
        <v>-5.2</v>
      </c>
      <c r="H22" s="60">
        <f t="shared" si="0"/>
        <v>322000000</v>
      </c>
    </row>
    <row r="23" spans="1:8">
      <c r="A23" s="59" t="s">
        <v>506</v>
      </c>
      <c r="B23" s="59">
        <v>316</v>
      </c>
      <c r="C23" s="59">
        <v>-2</v>
      </c>
      <c r="D23" s="59">
        <v>9</v>
      </c>
      <c r="E23" s="59">
        <v>113</v>
      </c>
      <c r="F23" s="59">
        <v>-11.7</v>
      </c>
      <c r="H23" s="60">
        <f t="shared" si="0"/>
        <v>316000000</v>
      </c>
    </row>
    <row r="24" spans="1:8">
      <c r="A24" s="59" t="s">
        <v>507</v>
      </c>
      <c r="B24" s="59">
        <v>312</v>
      </c>
      <c r="C24" s="59">
        <v>16</v>
      </c>
      <c r="D24" s="59">
        <v>22</v>
      </c>
      <c r="E24" s="59">
        <v>89</v>
      </c>
      <c r="F24" s="59">
        <v>-10.199999999999999</v>
      </c>
      <c r="H24" s="60">
        <f t="shared" si="0"/>
        <v>312000000</v>
      </c>
    </row>
    <row r="25" spans="1:8">
      <c r="A25" s="59" t="s">
        <v>508</v>
      </c>
      <c r="B25" s="59">
        <v>305</v>
      </c>
      <c r="C25" s="59">
        <v>3</v>
      </c>
      <c r="D25" s="59">
        <v>0</v>
      </c>
      <c r="E25" s="59">
        <v>102</v>
      </c>
      <c r="F25" s="59">
        <v>11</v>
      </c>
      <c r="H25" s="60">
        <f t="shared" si="0"/>
        <v>305000000</v>
      </c>
    </row>
    <row r="26" spans="1:8">
      <c r="A26" s="59" t="s">
        <v>509</v>
      </c>
      <c r="B26" s="59">
        <v>295</v>
      </c>
      <c r="C26" s="59">
        <v>-4</v>
      </c>
      <c r="D26" s="59">
        <v>63</v>
      </c>
      <c r="E26" s="59">
        <v>105</v>
      </c>
      <c r="F26" s="59">
        <v>-7.3</v>
      </c>
      <c r="H26" s="60">
        <f t="shared" si="0"/>
        <v>295000000</v>
      </c>
    </row>
    <row r="27" spans="1:8">
      <c r="A27" s="59" t="s">
        <v>510</v>
      </c>
      <c r="B27" s="59">
        <v>293</v>
      </c>
      <c r="C27" s="59">
        <v>-4</v>
      </c>
      <c r="D27" s="59">
        <v>32</v>
      </c>
      <c r="E27" s="59">
        <v>103</v>
      </c>
      <c r="F27" s="59">
        <v>-9.8000000000000007</v>
      </c>
      <c r="H27" s="60">
        <f t="shared" si="0"/>
        <v>293000000</v>
      </c>
    </row>
    <row r="28" spans="1:8">
      <c r="A28" s="59" t="s">
        <v>511</v>
      </c>
      <c r="B28" s="59">
        <v>281</v>
      </c>
      <c r="C28" s="59">
        <v>1</v>
      </c>
      <c r="D28" s="59">
        <v>53</v>
      </c>
      <c r="E28" s="59">
        <v>98</v>
      </c>
      <c r="F28" s="59">
        <v>-20</v>
      </c>
      <c r="H28" s="60">
        <f t="shared" si="0"/>
        <v>281000000</v>
      </c>
    </row>
    <row r="29" spans="1:8">
      <c r="A29" s="59" t="s">
        <v>512</v>
      </c>
      <c r="B29" s="59">
        <v>280</v>
      </c>
      <c r="C29" s="59">
        <v>5</v>
      </c>
      <c r="D29" s="59">
        <v>69</v>
      </c>
      <c r="E29" s="59">
        <v>100</v>
      </c>
      <c r="F29" s="59">
        <v>-5.9</v>
      </c>
      <c r="H29" s="60">
        <f t="shared" si="0"/>
        <v>280000000</v>
      </c>
    </row>
    <row r="30" spans="1:8">
      <c r="A30" s="59" t="s">
        <v>513</v>
      </c>
      <c r="B30" s="59">
        <v>269</v>
      </c>
      <c r="C30" s="59">
        <v>-4</v>
      </c>
      <c r="D30" s="59">
        <v>56</v>
      </c>
      <c r="E30" s="59">
        <v>95</v>
      </c>
      <c r="F30" s="59">
        <v>-16.899999999999999</v>
      </c>
      <c r="H30" s="60">
        <f t="shared" si="0"/>
        <v>269000000</v>
      </c>
    </row>
    <row r="31" spans="1:8">
      <c r="A31" s="59" t="s">
        <v>514</v>
      </c>
      <c r="B31" s="59">
        <v>266</v>
      </c>
      <c r="C31" s="59">
        <v>4</v>
      </c>
      <c r="D31" s="59">
        <v>56</v>
      </c>
      <c r="E31" s="59">
        <v>92</v>
      </c>
      <c r="F31" s="59">
        <v>-2.6</v>
      </c>
      <c r="H31" s="60">
        <f t="shared" si="0"/>
        <v>266000000</v>
      </c>
    </row>
    <row r="32" spans="1:8">
      <c r="A32" s="59" t="s">
        <v>515</v>
      </c>
      <c r="B32" s="59">
        <v>264</v>
      </c>
      <c r="C32" s="59">
        <v>-1</v>
      </c>
      <c r="D32" s="59">
        <v>19</v>
      </c>
      <c r="E32" s="59">
        <v>95</v>
      </c>
      <c r="F32" s="59">
        <v>-6.7</v>
      </c>
      <c r="H32" s="60">
        <f t="shared" si="0"/>
        <v>264000000</v>
      </c>
    </row>
    <row r="33" spans="1:8">
      <c r="A33" s="59" t="s">
        <v>516</v>
      </c>
      <c r="B33" s="59">
        <v>258</v>
      </c>
      <c r="C33" s="59">
        <v>2</v>
      </c>
      <c r="D33" s="59">
        <v>21</v>
      </c>
      <c r="E33" s="59">
        <v>92</v>
      </c>
      <c r="F33" s="59">
        <v>-2</v>
      </c>
      <c r="H33" s="60">
        <f t="shared" si="0"/>
        <v>258000000</v>
      </c>
    </row>
    <row r="36" spans="1:8">
      <c r="A36" s="59" t="s">
        <v>517</v>
      </c>
    </row>
    <row r="37" spans="1:8">
      <c r="A37" s="59" t="s">
        <v>518</v>
      </c>
    </row>
    <row r="38" spans="1:8">
      <c r="A38" s="59" t="s">
        <v>519</v>
      </c>
    </row>
    <row r="39" spans="1:8">
      <c r="A39" s="59" t="s">
        <v>520</v>
      </c>
    </row>
    <row r="40" spans="1:8">
      <c r="A40" s="59" t="s">
        <v>521</v>
      </c>
    </row>
    <row r="41" spans="1:8">
      <c r="A41" s="59" t="s">
        <v>522</v>
      </c>
    </row>
  </sheetData>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defaultColWidth="12" defaultRowHeight="12.6"/>
  <cols>
    <col min="1" max="1" width="25" style="59" customWidth="1"/>
    <col min="2" max="8" width="12" style="59"/>
    <col min="9" max="9" width="8.69921875" style="59" bestFit="1" customWidth="1"/>
    <col min="10" max="10" width="17.69921875" style="59" bestFit="1" customWidth="1"/>
    <col min="11" max="16384" width="12" style="59"/>
  </cols>
  <sheetData>
    <row r="1" spans="1:10">
      <c r="A1" s="59" t="s">
        <v>523</v>
      </c>
    </row>
    <row r="4" spans="1:10">
      <c r="A4" s="59" t="s">
        <v>524</v>
      </c>
      <c r="B4" s="59" t="s">
        <v>525</v>
      </c>
      <c r="C4" s="59" t="s">
        <v>526</v>
      </c>
      <c r="D4" s="59" t="s">
        <v>527</v>
      </c>
      <c r="E4" s="59" t="s">
        <v>486</v>
      </c>
      <c r="F4" s="59" t="s">
        <v>528</v>
      </c>
    </row>
    <row r="5" spans="1:10">
      <c r="A5" s="59" t="s">
        <v>529</v>
      </c>
      <c r="B5" s="59" t="s">
        <v>530</v>
      </c>
      <c r="C5" s="59" t="s">
        <v>531</v>
      </c>
      <c r="D5" s="59" t="s">
        <v>532</v>
      </c>
      <c r="E5" s="59" t="s">
        <v>533</v>
      </c>
      <c r="F5" s="59">
        <v>51.1</v>
      </c>
      <c r="H5" s="59" t="str">
        <f>LEFT(B5,3)</f>
        <v>607</v>
      </c>
      <c r="I5" s="60"/>
      <c r="J5" s="60">
        <f>B5*1000000</f>
        <v>607000000</v>
      </c>
    </row>
    <row r="6" spans="1:10">
      <c r="A6" s="59" t="s">
        <v>534</v>
      </c>
      <c r="B6" s="59" t="s">
        <v>535</v>
      </c>
      <c r="C6" s="59" t="s">
        <v>536</v>
      </c>
      <c r="D6" s="59" t="s">
        <v>537</v>
      </c>
      <c r="E6" s="59" t="s">
        <v>538</v>
      </c>
      <c r="F6" s="59">
        <v>51</v>
      </c>
      <c r="H6" s="59" t="str">
        <f t="shared" ref="H6:H34" si="0">LEFT(B6,3)</f>
        <v>511</v>
      </c>
      <c r="J6" s="60">
        <f t="shared" ref="J6:J34" si="1">B6*1000000</f>
        <v>511000000</v>
      </c>
    </row>
    <row r="7" spans="1:10">
      <c r="A7" s="59" t="s">
        <v>539</v>
      </c>
      <c r="B7" s="59" t="s">
        <v>540</v>
      </c>
      <c r="C7" s="59" t="s">
        <v>541</v>
      </c>
      <c r="D7" s="59" t="s">
        <v>541</v>
      </c>
      <c r="E7" s="59" t="s">
        <v>542</v>
      </c>
      <c r="F7" s="59">
        <v>46.9</v>
      </c>
      <c r="H7" s="59" t="str">
        <f t="shared" si="0"/>
        <v>479</v>
      </c>
      <c r="J7" s="60">
        <f t="shared" si="1"/>
        <v>479000000</v>
      </c>
    </row>
    <row r="8" spans="1:10">
      <c r="A8" s="59" t="s">
        <v>543</v>
      </c>
      <c r="B8" s="59" t="s">
        <v>544</v>
      </c>
      <c r="C8" s="59" t="s">
        <v>541</v>
      </c>
      <c r="D8" s="59" t="s">
        <v>545</v>
      </c>
      <c r="E8" s="59" t="s">
        <v>546</v>
      </c>
      <c r="F8" s="59">
        <v>30.3</v>
      </c>
      <c r="H8" s="59" t="str">
        <f t="shared" si="0"/>
        <v>470</v>
      </c>
      <c r="J8" s="60">
        <f t="shared" si="1"/>
        <v>470000000</v>
      </c>
    </row>
    <row r="9" spans="1:10">
      <c r="A9" s="59" t="s">
        <v>547</v>
      </c>
      <c r="B9" s="59" t="s">
        <v>548</v>
      </c>
      <c r="C9" s="59" t="s">
        <v>549</v>
      </c>
      <c r="D9" s="59" t="s">
        <v>541</v>
      </c>
      <c r="E9" s="59" t="s">
        <v>550</v>
      </c>
      <c r="F9" s="59">
        <v>21</v>
      </c>
      <c r="H9" s="59" t="str">
        <f t="shared" si="0"/>
        <v>586</v>
      </c>
      <c r="J9" s="60">
        <f t="shared" si="1"/>
        <v>586000000</v>
      </c>
    </row>
    <row r="10" spans="1:10">
      <c r="A10" s="59" t="s">
        <v>551</v>
      </c>
      <c r="B10" s="59" t="s">
        <v>552</v>
      </c>
      <c r="C10" s="59" t="s">
        <v>553</v>
      </c>
      <c r="D10" s="59" t="s">
        <v>554</v>
      </c>
      <c r="E10" s="59" t="s">
        <v>555</v>
      </c>
      <c r="F10" s="59">
        <v>20.7</v>
      </c>
      <c r="H10" s="59" t="str">
        <f t="shared" si="0"/>
        <v>429</v>
      </c>
      <c r="J10" s="60">
        <f t="shared" si="1"/>
        <v>429000000</v>
      </c>
    </row>
    <row r="11" spans="1:10">
      <c r="A11" s="59" t="s">
        <v>556</v>
      </c>
      <c r="B11" s="59" t="s">
        <v>557</v>
      </c>
      <c r="C11" s="59" t="s">
        <v>549</v>
      </c>
      <c r="D11" s="59" t="s">
        <v>558</v>
      </c>
      <c r="E11" s="59" t="s">
        <v>559</v>
      </c>
      <c r="F11" s="59">
        <v>19.100000000000001</v>
      </c>
      <c r="H11" s="59" t="str">
        <f t="shared" si="0"/>
        <v>398</v>
      </c>
      <c r="J11" s="60">
        <f t="shared" si="1"/>
        <v>398000000</v>
      </c>
    </row>
    <row r="12" spans="1:10">
      <c r="A12" s="59" t="s">
        <v>560</v>
      </c>
      <c r="B12" s="59" t="s">
        <v>561</v>
      </c>
      <c r="C12" s="59" t="s">
        <v>562</v>
      </c>
      <c r="D12" s="59" t="s">
        <v>563</v>
      </c>
      <c r="E12" s="59" t="s">
        <v>559</v>
      </c>
      <c r="F12" s="59">
        <v>18</v>
      </c>
      <c r="H12" s="59" t="str">
        <f t="shared" si="0"/>
        <v>386</v>
      </c>
      <c r="J12" s="60">
        <f t="shared" si="1"/>
        <v>386000000</v>
      </c>
    </row>
    <row r="13" spans="1:10">
      <c r="A13" s="59" t="s">
        <v>564</v>
      </c>
      <c r="B13" s="59" t="s">
        <v>565</v>
      </c>
      <c r="C13" s="59" t="s">
        <v>562</v>
      </c>
      <c r="D13" s="59" t="s">
        <v>566</v>
      </c>
      <c r="E13" s="59" t="s">
        <v>567</v>
      </c>
      <c r="F13" s="59">
        <v>12.9</v>
      </c>
      <c r="H13" s="59" t="str">
        <f t="shared" si="0"/>
        <v>433</v>
      </c>
      <c r="J13" s="60">
        <f t="shared" si="1"/>
        <v>433000000</v>
      </c>
    </row>
    <row r="14" spans="1:10">
      <c r="A14" s="59" t="s">
        <v>568</v>
      </c>
      <c r="B14" s="59" t="s">
        <v>569</v>
      </c>
      <c r="C14" s="59" t="s">
        <v>570</v>
      </c>
      <c r="D14" s="59" t="s">
        <v>571</v>
      </c>
      <c r="E14" s="59" t="s">
        <v>572</v>
      </c>
      <c r="F14" s="59">
        <v>12.7</v>
      </c>
      <c r="H14" s="59" t="str">
        <f t="shared" si="0"/>
        <v>310</v>
      </c>
      <c r="J14" s="60">
        <f t="shared" si="1"/>
        <v>310000000</v>
      </c>
    </row>
    <row r="15" spans="1:10">
      <c r="A15" s="59" t="s">
        <v>573</v>
      </c>
      <c r="B15" s="59" t="s">
        <v>574</v>
      </c>
      <c r="C15" s="59" t="s">
        <v>575</v>
      </c>
      <c r="D15" s="59" t="s">
        <v>576</v>
      </c>
      <c r="E15" s="59" t="s">
        <v>577</v>
      </c>
      <c r="F15" s="59">
        <v>11.9</v>
      </c>
      <c r="H15" s="59" t="str">
        <f t="shared" si="0"/>
        <v>315</v>
      </c>
      <c r="J15" s="60">
        <f t="shared" si="1"/>
        <v>315000000</v>
      </c>
    </row>
    <row r="16" spans="1:10">
      <c r="A16" s="59" t="s">
        <v>578</v>
      </c>
      <c r="B16" s="59" t="s">
        <v>579</v>
      </c>
      <c r="C16" s="59" t="s">
        <v>580</v>
      </c>
      <c r="D16" s="59" t="s">
        <v>541</v>
      </c>
      <c r="E16" s="59" t="s">
        <v>581</v>
      </c>
      <c r="F16" s="59">
        <v>10</v>
      </c>
      <c r="H16" s="59" t="str">
        <f t="shared" si="0"/>
        <v>295</v>
      </c>
      <c r="J16" s="60">
        <f t="shared" si="1"/>
        <v>295000000</v>
      </c>
    </row>
    <row r="17" spans="1:10">
      <c r="A17" s="59" t="s">
        <v>582</v>
      </c>
      <c r="B17" s="59" t="s">
        <v>583</v>
      </c>
      <c r="C17" s="59" t="s">
        <v>584</v>
      </c>
      <c r="D17" s="59" t="s">
        <v>571</v>
      </c>
      <c r="E17" s="59" t="s">
        <v>585</v>
      </c>
      <c r="F17" s="59">
        <v>8</v>
      </c>
      <c r="H17" s="59" t="str">
        <f t="shared" si="0"/>
        <v>364</v>
      </c>
      <c r="J17" s="60">
        <f t="shared" si="1"/>
        <v>364000000</v>
      </c>
    </row>
    <row r="18" spans="1:10">
      <c r="A18" s="59" t="s">
        <v>586</v>
      </c>
      <c r="B18" s="59" t="s">
        <v>587</v>
      </c>
      <c r="C18" s="59" t="s">
        <v>549</v>
      </c>
      <c r="D18" s="59" t="s">
        <v>588</v>
      </c>
      <c r="E18" s="59" t="s">
        <v>589</v>
      </c>
      <c r="F18" s="59">
        <v>7.9</v>
      </c>
      <c r="H18" s="59" t="str">
        <f t="shared" si="0"/>
        <v>343</v>
      </c>
      <c r="J18" s="60">
        <f t="shared" si="1"/>
        <v>343000000</v>
      </c>
    </row>
    <row r="19" spans="1:10">
      <c r="A19" s="59" t="s">
        <v>590</v>
      </c>
      <c r="B19" s="59" t="s">
        <v>591</v>
      </c>
      <c r="C19" s="59" t="s">
        <v>549</v>
      </c>
      <c r="D19" s="59" t="s">
        <v>592</v>
      </c>
      <c r="E19" s="59" t="s">
        <v>593</v>
      </c>
      <c r="F19" s="59">
        <v>7.6</v>
      </c>
      <c r="H19" s="59" t="str">
        <f t="shared" si="0"/>
        <v>344</v>
      </c>
      <c r="J19" s="60">
        <f t="shared" si="1"/>
        <v>344000000</v>
      </c>
    </row>
    <row r="20" spans="1:10">
      <c r="A20" s="59" t="s">
        <v>594</v>
      </c>
      <c r="B20" s="59" t="s">
        <v>595</v>
      </c>
      <c r="C20" s="59" t="s">
        <v>541</v>
      </c>
      <c r="D20" s="59" t="s">
        <v>566</v>
      </c>
      <c r="E20" s="59" t="s">
        <v>596</v>
      </c>
      <c r="F20" s="59">
        <v>5</v>
      </c>
      <c r="H20" s="59" t="str">
        <f t="shared" si="0"/>
        <v>476</v>
      </c>
      <c r="J20" s="60">
        <f t="shared" si="1"/>
        <v>476000000</v>
      </c>
    </row>
    <row r="21" spans="1:10">
      <c r="A21" s="59" t="s">
        <v>597</v>
      </c>
      <c r="B21" s="59" t="s">
        <v>598</v>
      </c>
      <c r="C21" s="59" t="s">
        <v>599</v>
      </c>
      <c r="D21" s="59" t="s">
        <v>600</v>
      </c>
      <c r="E21" s="59" t="s">
        <v>601</v>
      </c>
      <c r="F21" s="59">
        <v>4.9000000000000004</v>
      </c>
      <c r="H21" s="59" t="str">
        <f t="shared" si="0"/>
        <v>313</v>
      </c>
      <c r="J21" s="60">
        <f t="shared" si="1"/>
        <v>313000000</v>
      </c>
    </row>
    <row r="22" spans="1:10">
      <c r="A22" s="59" t="s">
        <v>602</v>
      </c>
      <c r="B22" s="59" t="s">
        <v>603</v>
      </c>
      <c r="C22" s="59" t="s">
        <v>562</v>
      </c>
      <c r="D22" s="59" t="s">
        <v>537</v>
      </c>
      <c r="E22" s="59" t="s">
        <v>593</v>
      </c>
      <c r="F22" s="59">
        <v>4.5999999999999996</v>
      </c>
      <c r="H22" s="59" t="str">
        <f t="shared" si="0"/>
        <v>321</v>
      </c>
      <c r="J22" s="60">
        <f t="shared" si="1"/>
        <v>321000000</v>
      </c>
    </row>
    <row r="23" spans="1:10">
      <c r="A23" s="59" t="s">
        <v>512</v>
      </c>
      <c r="B23" s="59" t="s">
        <v>604</v>
      </c>
      <c r="C23" s="59" t="s">
        <v>575</v>
      </c>
      <c r="D23" s="59" t="s">
        <v>605</v>
      </c>
      <c r="E23" s="59" t="s">
        <v>606</v>
      </c>
      <c r="F23" s="59">
        <v>-0.1</v>
      </c>
      <c r="H23" s="59" t="str">
        <f t="shared" si="0"/>
        <v>267</v>
      </c>
      <c r="J23" s="60">
        <f t="shared" si="1"/>
        <v>267000000</v>
      </c>
    </row>
    <row r="24" spans="1:10">
      <c r="A24" s="59" t="s">
        <v>607</v>
      </c>
      <c r="B24" s="59" t="s">
        <v>608</v>
      </c>
      <c r="C24" s="59" t="s">
        <v>541</v>
      </c>
      <c r="D24" s="59" t="s">
        <v>609</v>
      </c>
      <c r="E24" s="59" t="s">
        <v>610</v>
      </c>
      <c r="F24" s="59">
        <v>-2</v>
      </c>
      <c r="H24" s="59" t="str">
        <f t="shared" si="0"/>
        <v>306</v>
      </c>
      <c r="J24" s="60">
        <f t="shared" si="1"/>
        <v>306000000</v>
      </c>
    </row>
    <row r="25" spans="1:10">
      <c r="A25" s="59" t="s">
        <v>611</v>
      </c>
      <c r="B25" s="59" t="s">
        <v>612</v>
      </c>
      <c r="C25" s="59" t="s">
        <v>531</v>
      </c>
      <c r="D25" s="59" t="s">
        <v>613</v>
      </c>
      <c r="E25" s="59" t="s">
        <v>614</v>
      </c>
      <c r="F25" s="59">
        <v>-2.2000000000000002</v>
      </c>
      <c r="H25" s="59" t="str">
        <f t="shared" si="0"/>
        <v>361</v>
      </c>
      <c r="J25" s="60">
        <f t="shared" si="1"/>
        <v>361000000</v>
      </c>
    </row>
    <row r="26" spans="1:10">
      <c r="A26" s="59" t="s">
        <v>615</v>
      </c>
      <c r="B26" s="59" t="s">
        <v>616</v>
      </c>
      <c r="C26" s="59" t="s">
        <v>617</v>
      </c>
      <c r="D26" s="59" t="s">
        <v>618</v>
      </c>
      <c r="E26" s="59" t="s">
        <v>619</v>
      </c>
      <c r="F26" s="59">
        <v>-2.8</v>
      </c>
      <c r="H26" s="59" t="str">
        <f t="shared" si="0"/>
        <v>305</v>
      </c>
      <c r="J26" s="60">
        <f t="shared" si="1"/>
        <v>305000000</v>
      </c>
    </row>
    <row r="27" spans="1:10">
      <c r="A27" s="59" t="s">
        <v>620</v>
      </c>
      <c r="B27" s="59" t="s">
        <v>621</v>
      </c>
      <c r="C27" s="59" t="s">
        <v>599</v>
      </c>
      <c r="D27" s="59" t="s">
        <v>592</v>
      </c>
      <c r="E27" s="59" t="s">
        <v>622</v>
      </c>
      <c r="F27" s="59">
        <v>-6.8</v>
      </c>
      <c r="H27" s="59" t="str">
        <f t="shared" si="0"/>
        <v>268</v>
      </c>
      <c r="J27" s="60">
        <f t="shared" si="1"/>
        <v>268000000</v>
      </c>
    </row>
    <row r="28" spans="1:10">
      <c r="A28" s="59" t="s">
        <v>623</v>
      </c>
      <c r="B28" s="59" t="s">
        <v>624</v>
      </c>
      <c r="C28" s="59" t="s">
        <v>617</v>
      </c>
      <c r="D28" s="59" t="s">
        <v>625</v>
      </c>
      <c r="E28" s="59" t="s">
        <v>626</v>
      </c>
      <c r="F28" s="59">
        <v>-7.1</v>
      </c>
      <c r="H28" s="59" t="str">
        <f t="shared" si="0"/>
        <v>257</v>
      </c>
      <c r="J28" s="60">
        <f t="shared" si="1"/>
        <v>257000000</v>
      </c>
    </row>
    <row r="29" spans="1:10">
      <c r="A29" s="59" t="s">
        <v>627</v>
      </c>
      <c r="B29" s="59" t="s">
        <v>628</v>
      </c>
      <c r="C29" s="59" t="s">
        <v>629</v>
      </c>
      <c r="D29" s="59" t="s">
        <v>630</v>
      </c>
      <c r="E29" s="59" t="s">
        <v>631</v>
      </c>
      <c r="F29" s="59">
        <v>-7.4</v>
      </c>
      <c r="H29" s="59" t="str">
        <f t="shared" si="0"/>
        <v>254</v>
      </c>
      <c r="J29" s="60">
        <f t="shared" si="1"/>
        <v>254000000</v>
      </c>
    </row>
    <row r="30" spans="1:10">
      <c r="A30" s="59" t="s">
        <v>632</v>
      </c>
      <c r="B30" s="59" t="s">
        <v>633</v>
      </c>
      <c r="C30" s="59" t="s">
        <v>629</v>
      </c>
      <c r="D30" s="59" t="s">
        <v>634</v>
      </c>
      <c r="E30" s="59" t="s">
        <v>635</v>
      </c>
      <c r="F30" s="59">
        <v>-13.9</v>
      </c>
      <c r="H30" s="59" t="str">
        <f t="shared" si="0"/>
        <v>269</v>
      </c>
      <c r="J30" s="60">
        <f t="shared" si="1"/>
        <v>269000000</v>
      </c>
    </row>
    <row r="31" spans="1:10">
      <c r="A31" s="59" t="s">
        <v>636</v>
      </c>
      <c r="B31" s="59" t="s">
        <v>637</v>
      </c>
      <c r="C31" s="59" t="s">
        <v>638</v>
      </c>
      <c r="D31" s="59" t="s">
        <v>625</v>
      </c>
      <c r="E31" s="59" t="s">
        <v>622</v>
      </c>
      <c r="F31" s="59">
        <v>-15.1</v>
      </c>
      <c r="H31" s="59" t="str">
        <f t="shared" si="0"/>
        <v>278</v>
      </c>
      <c r="J31" s="60">
        <f t="shared" si="1"/>
        <v>278000000</v>
      </c>
    </row>
    <row r="32" spans="1:10">
      <c r="A32" s="59" t="s">
        <v>639</v>
      </c>
      <c r="B32" s="59" t="s">
        <v>640</v>
      </c>
      <c r="C32" s="59" t="s">
        <v>584</v>
      </c>
      <c r="D32" s="59" t="s">
        <v>641</v>
      </c>
      <c r="E32" s="59" t="s">
        <v>642</v>
      </c>
      <c r="F32" s="59">
        <v>-15.7</v>
      </c>
      <c r="H32" s="59" t="str">
        <f t="shared" si="0"/>
        <v>281</v>
      </c>
      <c r="J32" s="60">
        <f t="shared" si="1"/>
        <v>281000000</v>
      </c>
    </row>
    <row r="33" spans="1:10">
      <c r="A33" s="59" t="s">
        <v>643</v>
      </c>
      <c r="B33" s="59" t="s">
        <v>644</v>
      </c>
      <c r="C33" s="59" t="s">
        <v>549</v>
      </c>
      <c r="D33" s="59" t="s">
        <v>645</v>
      </c>
      <c r="E33" s="59" t="s">
        <v>646</v>
      </c>
      <c r="F33" s="59">
        <v>-17.399999999999999</v>
      </c>
      <c r="H33" s="59" t="str">
        <f t="shared" si="0"/>
        <v>446</v>
      </c>
      <c r="J33" s="60">
        <f t="shared" si="1"/>
        <v>446000000</v>
      </c>
    </row>
    <row r="34" spans="1:10">
      <c r="A34" s="59" t="s">
        <v>647</v>
      </c>
      <c r="B34" s="59" t="s">
        <v>648</v>
      </c>
      <c r="C34" s="59" t="s">
        <v>649</v>
      </c>
      <c r="D34" s="59" t="s">
        <v>618</v>
      </c>
      <c r="E34" s="59" t="s">
        <v>650</v>
      </c>
      <c r="F34" s="59">
        <v>-20.3</v>
      </c>
      <c r="H34" s="59" t="str">
        <f t="shared" si="0"/>
        <v>338</v>
      </c>
      <c r="J34" s="60">
        <f t="shared" si="1"/>
        <v>338000000</v>
      </c>
    </row>
    <row r="36" spans="1:10">
      <c r="A36" s="59" t="s">
        <v>517</v>
      </c>
    </row>
    <row r="37" spans="1:10">
      <c r="A37" s="59" t="s">
        <v>651</v>
      </c>
    </row>
    <row r="38" spans="1:10">
      <c r="A38" s="59" t="s">
        <v>652</v>
      </c>
    </row>
    <row r="39" spans="1:10">
      <c r="A39" s="59" t="s">
        <v>653</v>
      </c>
    </row>
    <row r="40" spans="1:10">
      <c r="A40" s="59" t="s">
        <v>654</v>
      </c>
    </row>
    <row r="41" spans="1:10">
      <c r="A41" s="59" t="s">
        <v>655</v>
      </c>
    </row>
  </sheetData>
  <pageMargins left="0.75" right="0.75" top="1" bottom="1" header="0.5" footer="0.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defaultColWidth="8.796875" defaultRowHeight="14.4"/>
  <cols>
    <col min="1" max="1" width="4.796875" style="61" customWidth="1"/>
    <col min="2" max="2" width="20.296875" style="61" customWidth="1"/>
    <col min="3" max="3" width="17" style="61" customWidth="1"/>
    <col min="4" max="4" width="17.19921875" style="61" customWidth="1"/>
    <col min="5" max="5" width="13.69921875" style="61" customWidth="1"/>
    <col min="6" max="6" width="13.296875" style="61" customWidth="1"/>
    <col min="7" max="7" width="20.796875" style="61" customWidth="1"/>
    <col min="8" max="8" width="12.19921875" style="61" customWidth="1"/>
    <col min="9" max="9" width="10" style="61" customWidth="1"/>
    <col min="10" max="10" width="15" style="61" bestFit="1" customWidth="1"/>
    <col min="11" max="16384" width="8.796875" style="61"/>
  </cols>
  <sheetData>
    <row r="1" spans="1:10">
      <c r="A1" s="61" t="s">
        <v>656</v>
      </c>
    </row>
    <row r="3" spans="1:10">
      <c r="B3" s="62" t="s">
        <v>325</v>
      </c>
      <c r="C3" s="62" t="s">
        <v>657</v>
      </c>
      <c r="D3" s="62" t="s">
        <v>463</v>
      </c>
      <c r="E3" s="62" t="s">
        <v>658</v>
      </c>
      <c r="F3" s="62" t="s">
        <v>659</v>
      </c>
      <c r="G3" s="62" t="s">
        <v>660</v>
      </c>
      <c r="I3" s="63"/>
    </row>
    <row r="4" spans="1:10">
      <c r="A4" s="64">
        <v>1</v>
      </c>
      <c r="B4" s="65" t="s">
        <v>291</v>
      </c>
      <c r="C4" s="66">
        <v>613</v>
      </c>
      <c r="D4" s="66">
        <v>1</v>
      </c>
      <c r="E4" s="66">
        <v>0</v>
      </c>
      <c r="F4" s="66">
        <v>208</v>
      </c>
      <c r="G4" s="66">
        <v>29.6</v>
      </c>
      <c r="J4" s="67">
        <f>C4*1000000</f>
        <v>613000000</v>
      </c>
    </row>
    <row r="5" spans="1:10">
      <c r="A5" s="64">
        <v>2</v>
      </c>
      <c r="B5" s="65" t="s">
        <v>292</v>
      </c>
      <c r="C5" s="66">
        <v>584</v>
      </c>
      <c r="D5" s="66">
        <v>4</v>
      </c>
      <c r="E5" s="66">
        <v>22</v>
      </c>
      <c r="F5" s="66">
        <v>191</v>
      </c>
      <c r="G5" s="66">
        <v>47.9</v>
      </c>
      <c r="J5" s="67">
        <f t="shared" ref="J5:J33" si="0">C5*1000000</f>
        <v>584000000</v>
      </c>
    </row>
    <row r="6" spans="1:10">
      <c r="A6" s="64">
        <v>3</v>
      </c>
      <c r="B6" s="65" t="s">
        <v>293</v>
      </c>
      <c r="C6" s="66">
        <v>504</v>
      </c>
      <c r="D6" s="66">
        <v>1</v>
      </c>
      <c r="E6" s="66">
        <v>11</v>
      </c>
      <c r="F6" s="66">
        <v>165</v>
      </c>
      <c r="G6" s="66">
        <v>55.4</v>
      </c>
      <c r="J6" s="67">
        <f t="shared" si="0"/>
        <v>504000000</v>
      </c>
    </row>
    <row r="7" spans="1:10">
      <c r="A7" s="64">
        <v>4</v>
      </c>
      <c r="B7" s="65" t="s">
        <v>312</v>
      </c>
      <c r="C7" s="66">
        <v>480</v>
      </c>
      <c r="D7" s="66">
        <v>1</v>
      </c>
      <c r="E7" s="66">
        <v>0</v>
      </c>
      <c r="F7" s="66">
        <v>160</v>
      </c>
      <c r="G7" s="66">
        <v>40.4</v>
      </c>
      <c r="J7" s="67">
        <f t="shared" si="0"/>
        <v>480000000</v>
      </c>
    </row>
    <row r="8" spans="1:10">
      <c r="A8" s="64">
        <v>5</v>
      </c>
      <c r="B8" s="65" t="s">
        <v>303</v>
      </c>
      <c r="C8" s="66">
        <v>477</v>
      </c>
      <c r="D8" s="66">
        <v>5</v>
      </c>
      <c r="E8" s="66">
        <v>42</v>
      </c>
      <c r="F8" s="66">
        <v>159</v>
      </c>
      <c r="G8" s="66">
        <v>13.1</v>
      </c>
      <c r="J8" s="67">
        <f t="shared" si="0"/>
        <v>477000000</v>
      </c>
    </row>
    <row r="9" spans="1:10">
      <c r="A9" s="64">
        <v>6</v>
      </c>
      <c r="B9" s="65" t="s">
        <v>299</v>
      </c>
      <c r="C9" s="66">
        <v>469</v>
      </c>
      <c r="D9" s="66">
        <v>1</v>
      </c>
      <c r="E9" s="66">
        <v>15</v>
      </c>
      <c r="F9" s="66">
        <v>156</v>
      </c>
      <c r="G9" s="66">
        <v>31.2</v>
      </c>
      <c r="J9" s="67">
        <f t="shared" si="0"/>
        <v>469000000</v>
      </c>
    </row>
    <row r="10" spans="1:10">
      <c r="A10" s="64">
        <v>7</v>
      </c>
      <c r="B10" s="65" t="s">
        <v>300</v>
      </c>
      <c r="C10" s="66">
        <v>466</v>
      </c>
      <c r="D10" s="66">
        <v>1</v>
      </c>
      <c r="E10" s="66">
        <v>26</v>
      </c>
      <c r="F10" s="66">
        <v>153</v>
      </c>
      <c r="G10" s="66">
        <v>-13.6</v>
      </c>
      <c r="J10" s="67">
        <f t="shared" si="0"/>
        <v>466000000</v>
      </c>
    </row>
    <row r="11" spans="1:10">
      <c r="A11" s="64">
        <v>8</v>
      </c>
      <c r="B11" s="65" t="s">
        <v>304</v>
      </c>
      <c r="C11" s="66">
        <v>452</v>
      </c>
      <c r="D11" s="66">
        <v>1</v>
      </c>
      <c r="E11" s="66">
        <v>39</v>
      </c>
      <c r="F11" s="66">
        <v>148</v>
      </c>
      <c r="G11" s="66">
        <v>28.9</v>
      </c>
      <c r="J11" s="67">
        <f t="shared" si="0"/>
        <v>452000000</v>
      </c>
    </row>
    <row r="12" spans="1:10">
      <c r="A12" s="64">
        <v>9</v>
      </c>
      <c r="B12" s="65" t="s">
        <v>294</v>
      </c>
      <c r="C12" s="66">
        <v>447</v>
      </c>
      <c r="D12" s="66">
        <v>14</v>
      </c>
      <c r="E12" s="66">
        <v>40</v>
      </c>
      <c r="F12" s="66">
        <v>149</v>
      </c>
      <c r="G12" s="66">
        <v>20.100000000000001</v>
      </c>
      <c r="J12" s="67">
        <f t="shared" si="0"/>
        <v>447000000</v>
      </c>
    </row>
    <row r="13" spans="1:10">
      <c r="A13" s="64">
        <v>10</v>
      </c>
      <c r="B13" s="65" t="s">
        <v>302</v>
      </c>
      <c r="C13" s="66">
        <v>415</v>
      </c>
      <c r="D13" s="66">
        <v>3</v>
      </c>
      <c r="E13" s="66">
        <v>13</v>
      </c>
      <c r="F13" s="66">
        <v>138</v>
      </c>
      <c r="G13" s="66">
        <v>19</v>
      </c>
      <c r="J13" s="67">
        <f t="shared" si="0"/>
        <v>415000000</v>
      </c>
    </row>
    <row r="14" spans="1:10">
      <c r="A14" s="64">
        <v>11</v>
      </c>
      <c r="B14" s="65" t="s">
        <v>305</v>
      </c>
      <c r="C14" s="66">
        <v>400</v>
      </c>
      <c r="D14" s="66">
        <v>7</v>
      </c>
      <c r="E14" s="66">
        <v>40</v>
      </c>
      <c r="F14" s="66">
        <v>138</v>
      </c>
      <c r="G14" s="66">
        <v>27.7</v>
      </c>
      <c r="J14" s="67">
        <f t="shared" si="0"/>
        <v>400000000</v>
      </c>
    </row>
    <row r="15" spans="1:10">
      <c r="A15" s="64">
        <v>12</v>
      </c>
      <c r="B15" s="65" t="s">
        <v>301</v>
      </c>
      <c r="C15" s="66">
        <v>393</v>
      </c>
      <c r="D15" s="66">
        <v>-6</v>
      </c>
      <c r="E15" s="66">
        <v>43</v>
      </c>
      <c r="F15" s="66">
        <v>131</v>
      </c>
      <c r="G15" s="66">
        <v>-1.1000000000000001</v>
      </c>
      <c r="J15" s="67">
        <f t="shared" si="0"/>
        <v>393000000</v>
      </c>
    </row>
    <row r="16" spans="1:10">
      <c r="A16" s="64">
        <v>13</v>
      </c>
      <c r="B16" s="65" t="s">
        <v>319</v>
      </c>
      <c r="C16" s="66">
        <v>360</v>
      </c>
      <c r="D16" s="66">
        <v>-5</v>
      </c>
      <c r="E16" s="66">
        <v>18</v>
      </c>
      <c r="F16" s="66">
        <v>116</v>
      </c>
      <c r="G16" s="66">
        <v>0.3</v>
      </c>
      <c r="J16" s="67">
        <f t="shared" si="0"/>
        <v>360000000</v>
      </c>
    </row>
    <row r="17" spans="1:10">
      <c r="A17" s="64">
        <v>14</v>
      </c>
      <c r="B17" s="65" t="s">
        <v>310</v>
      </c>
      <c r="C17" s="66">
        <v>358</v>
      </c>
      <c r="D17" s="66">
        <v>5</v>
      </c>
      <c r="E17" s="66">
        <v>3</v>
      </c>
      <c r="F17" s="66">
        <v>119</v>
      </c>
      <c r="G17" s="66">
        <v>8.8000000000000007</v>
      </c>
      <c r="J17" s="67">
        <f t="shared" si="0"/>
        <v>358000000</v>
      </c>
    </row>
    <row r="18" spans="1:10">
      <c r="A18" s="64">
        <v>15</v>
      </c>
      <c r="B18" s="65" t="s">
        <v>307</v>
      </c>
      <c r="C18" s="66">
        <v>353</v>
      </c>
      <c r="D18" s="66">
        <v>2</v>
      </c>
      <c r="E18" s="66">
        <v>47</v>
      </c>
      <c r="F18" s="66">
        <v>118</v>
      </c>
      <c r="G18" s="66">
        <v>14.9</v>
      </c>
      <c r="J18" s="67">
        <f t="shared" si="0"/>
        <v>353000000</v>
      </c>
    </row>
    <row r="19" spans="1:10">
      <c r="A19" s="64">
        <v>16</v>
      </c>
      <c r="B19" s="65" t="s">
        <v>308</v>
      </c>
      <c r="C19" s="66">
        <v>350</v>
      </c>
      <c r="D19" s="66">
        <v>-9</v>
      </c>
      <c r="E19" s="66">
        <v>24</v>
      </c>
      <c r="F19" s="66">
        <v>117</v>
      </c>
      <c r="G19" s="66">
        <v>7</v>
      </c>
      <c r="J19" s="67">
        <f t="shared" si="0"/>
        <v>350000000</v>
      </c>
    </row>
    <row r="20" spans="1:10">
      <c r="A20" s="64">
        <v>17</v>
      </c>
      <c r="B20" s="65" t="s">
        <v>309</v>
      </c>
      <c r="C20" s="66">
        <v>349</v>
      </c>
      <c r="D20" s="66">
        <v>8</v>
      </c>
      <c r="E20" s="66">
        <v>29</v>
      </c>
      <c r="F20" s="66">
        <v>100</v>
      </c>
      <c r="G20" s="66">
        <v>6.2</v>
      </c>
      <c r="J20" s="67">
        <f t="shared" si="0"/>
        <v>349000000</v>
      </c>
    </row>
    <row r="21" spans="1:10">
      <c r="A21" s="64">
        <v>18</v>
      </c>
      <c r="B21" s="65" t="s">
        <v>296</v>
      </c>
      <c r="C21" s="66">
        <v>335</v>
      </c>
      <c r="D21" s="66">
        <v>8</v>
      </c>
      <c r="E21" s="66">
        <v>22</v>
      </c>
      <c r="F21" s="66">
        <v>112</v>
      </c>
      <c r="G21" s="66">
        <v>14.2</v>
      </c>
      <c r="J21" s="67">
        <f t="shared" si="0"/>
        <v>335000000</v>
      </c>
    </row>
    <row r="22" spans="1:10">
      <c r="A22" s="64">
        <v>19</v>
      </c>
      <c r="B22" s="65" t="s">
        <v>311</v>
      </c>
      <c r="C22" s="66">
        <v>329</v>
      </c>
      <c r="D22" s="66">
        <v>3</v>
      </c>
      <c r="E22" s="66">
        <v>14</v>
      </c>
      <c r="F22" s="66">
        <v>112</v>
      </c>
      <c r="G22" s="66">
        <v>-26.3</v>
      </c>
      <c r="J22" s="67">
        <f t="shared" si="0"/>
        <v>329000000</v>
      </c>
    </row>
    <row r="23" spans="1:10">
      <c r="A23" s="64">
        <v>20</v>
      </c>
      <c r="B23" s="65" t="s">
        <v>306</v>
      </c>
      <c r="C23" s="66">
        <v>307</v>
      </c>
      <c r="D23" s="66">
        <v>21</v>
      </c>
      <c r="E23" s="66">
        <v>34</v>
      </c>
      <c r="F23" s="66">
        <v>114</v>
      </c>
      <c r="G23" s="66">
        <v>-0.9</v>
      </c>
      <c r="J23" s="67">
        <f t="shared" si="0"/>
        <v>307000000</v>
      </c>
    </row>
    <row r="24" spans="1:10">
      <c r="A24" s="64">
        <v>21</v>
      </c>
      <c r="B24" s="65" t="s">
        <v>314</v>
      </c>
      <c r="C24" s="66">
        <v>306</v>
      </c>
      <c r="D24" s="66">
        <v>7</v>
      </c>
      <c r="E24" s="66">
        <v>23</v>
      </c>
      <c r="F24" s="66">
        <v>102</v>
      </c>
      <c r="G24" s="66">
        <v>6.7</v>
      </c>
      <c r="J24" s="67">
        <f t="shared" si="0"/>
        <v>306000000</v>
      </c>
    </row>
    <row r="25" spans="1:10">
      <c r="A25" s="64">
        <v>22</v>
      </c>
      <c r="B25" s="65" t="s">
        <v>313</v>
      </c>
      <c r="C25" s="66">
        <v>303</v>
      </c>
      <c r="D25" s="66">
        <v>-9</v>
      </c>
      <c r="E25" s="66">
        <v>16</v>
      </c>
      <c r="F25" s="66">
        <v>101</v>
      </c>
      <c r="G25" s="66">
        <v>-6.5</v>
      </c>
      <c r="J25" s="67">
        <f t="shared" si="0"/>
        <v>303000000</v>
      </c>
    </row>
    <row r="26" spans="1:10">
      <c r="A26" s="64">
        <v>23</v>
      </c>
      <c r="B26" s="65" t="s">
        <v>318</v>
      </c>
      <c r="C26" s="66">
        <v>301</v>
      </c>
      <c r="D26" s="66">
        <v>-2</v>
      </c>
      <c r="E26" s="66">
        <v>17</v>
      </c>
      <c r="F26" s="66">
        <v>100</v>
      </c>
      <c r="G26" s="66">
        <v>-5.7</v>
      </c>
      <c r="J26" s="67">
        <f t="shared" si="0"/>
        <v>301000000</v>
      </c>
    </row>
    <row r="27" spans="1:10">
      <c r="A27" s="64">
        <v>24</v>
      </c>
      <c r="B27" s="65" t="s">
        <v>77</v>
      </c>
      <c r="C27" s="66">
        <v>300</v>
      </c>
      <c r="D27" s="66">
        <v>12</v>
      </c>
      <c r="E27" s="66">
        <v>47</v>
      </c>
      <c r="F27" s="66">
        <v>82</v>
      </c>
      <c r="G27" s="66">
        <v>-9.4</v>
      </c>
      <c r="J27" s="67">
        <f t="shared" si="0"/>
        <v>300000000</v>
      </c>
    </row>
    <row r="28" spans="1:10">
      <c r="A28" s="64">
        <v>25</v>
      </c>
      <c r="B28" s="65" t="s">
        <v>295</v>
      </c>
      <c r="C28" s="66">
        <v>297</v>
      </c>
      <c r="D28" s="66">
        <v>1</v>
      </c>
      <c r="E28" s="66">
        <v>0</v>
      </c>
      <c r="F28" s="66">
        <v>99</v>
      </c>
      <c r="G28" s="66">
        <v>10.7</v>
      </c>
      <c r="J28" s="67">
        <f t="shared" si="0"/>
        <v>297000000</v>
      </c>
    </row>
    <row r="29" spans="1:10">
      <c r="A29" s="64">
        <v>26</v>
      </c>
      <c r="B29" s="65" t="s">
        <v>480</v>
      </c>
      <c r="C29" s="66">
        <v>295</v>
      </c>
      <c r="D29" s="66">
        <v>-13</v>
      </c>
      <c r="E29" s="66">
        <v>71</v>
      </c>
      <c r="F29" s="66">
        <v>98</v>
      </c>
      <c r="G29" s="66">
        <v>-0.9</v>
      </c>
      <c r="J29" s="67">
        <f t="shared" si="0"/>
        <v>295000000</v>
      </c>
    </row>
    <row r="30" spans="1:10">
      <c r="A30" s="64">
        <v>27</v>
      </c>
      <c r="B30" s="65" t="s">
        <v>315</v>
      </c>
      <c r="C30" s="66">
        <v>294</v>
      </c>
      <c r="D30" s="66">
        <v>-3</v>
      </c>
      <c r="E30" s="66">
        <v>51</v>
      </c>
      <c r="F30" s="66">
        <v>95</v>
      </c>
      <c r="G30" s="66">
        <v>-3.2</v>
      </c>
      <c r="J30" s="67">
        <f t="shared" si="0"/>
        <v>294000000</v>
      </c>
    </row>
    <row r="31" spans="1:10">
      <c r="A31" s="64">
        <v>28</v>
      </c>
      <c r="B31" s="65" t="s">
        <v>322</v>
      </c>
      <c r="C31" s="66">
        <v>285</v>
      </c>
      <c r="D31" s="66">
        <v>5</v>
      </c>
      <c r="E31" s="66">
        <v>35</v>
      </c>
      <c r="F31" s="66">
        <v>95</v>
      </c>
      <c r="G31" s="66">
        <v>3.2</v>
      </c>
      <c r="J31" s="67">
        <f t="shared" si="0"/>
        <v>285000000</v>
      </c>
    </row>
    <row r="32" spans="1:10">
      <c r="A32" s="64">
        <v>29</v>
      </c>
      <c r="B32" s="65" t="s">
        <v>467</v>
      </c>
      <c r="C32" s="66">
        <v>284</v>
      </c>
      <c r="D32" s="66">
        <v>-1</v>
      </c>
      <c r="E32" s="66">
        <v>53</v>
      </c>
      <c r="F32" s="66">
        <v>95</v>
      </c>
      <c r="G32" s="66">
        <v>-4.9000000000000004</v>
      </c>
      <c r="J32" s="67">
        <f t="shared" si="0"/>
        <v>284000000</v>
      </c>
    </row>
    <row r="33" spans="1:10">
      <c r="A33" s="64">
        <v>30</v>
      </c>
      <c r="B33" s="65" t="s">
        <v>320</v>
      </c>
      <c r="C33" s="66">
        <v>278</v>
      </c>
      <c r="D33" s="66">
        <v>5</v>
      </c>
      <c r="E33" s="66">
        <v>20</v>
      </c>
      <c r="F33" s="66">
        <v>94</v>
      </c>
      <c r="G33" s="66">
        <v>5.4</v>
      </c>
      <c r="J33" s="67">
        <f t="shared" si="0"/>
        <v>278000000</v>
      </c>
    </row>
    <row r="35" spans="1:10">
      <c r="A35" s="61" t="s">
        <v>661</v>
      </c>
    </row>
    <row r="36" spans="1:10" ht="16.2">
      <c r="A36" s="68" t="s">
        <v>662</v>
      </c>
    </row>
    <row r="37" spans="1:10" ht="16.2">
      <c r="A37" s="68" t="s">
        <v>663</v>
      </c>
    </row>
    <row r="38" spans="1:10" ht="16.2">
      <c r="A38" s="68" t="s">
        <v>664</v>
      </c>
    </row>
    <row r="39" spans="1:10">
      <c r="A39" s="61" t="s">
        <v>665</v>
      </c>
    </row>
    <row r="40" spans="1:10">
      <c r="A40" s="69"/>
    </row>
    <row r="41" spans="1:10" ht="16.2">
      <c r="A41" s="70"/>
    </row>
  </sheetData>
  <hyperlinks>
    <hyperlink ref="B3" r:id="rId1" display="http://www.forbes.com/lists/2008/32/nba08_NBA-Team-Valuations_MetroArea.html"/>
    <hyperlink ref="C3" r:id="rId2" display="http://www.forbes.com/lists/2008/32/nba08_NBA-Team-Valuations_Value.html"/>
    <hyperlink ref="D3" r:id="rId3" display="http://www.forbes.com/lists/2008/32/nba08_NBA-Team-Valuations_YrChange.html"/>
    <hyperlink ref="E3" r:id="rId4" display="http://www.forbes.com/lists/2008/32/nba08_NBA-Team-Valuations_DOV.html"/>
    <hyperlink ref="B4" r:id="rId5" display="http://www.forbes.com/lists/2008/32/nba08_New-York-Knicks_328815.html"/>
    <hyperlink ref="B5" r:id="rId6" display="http://www.forbes.com/lists/2008/32/nba08_Los-Angeles-Lakers_320250.html"/>
    <hyperlink ref="B6" r:id="rId7" display="http://www.forbes.com/lists/2008/32/nba08_Chicago-Bulls_321267.html"/>
    <hyperlink ref="B7" r:id="rId8" display="http://www.forbes.com/lists/2008/32/nba08_Detroit-Pistons_320844.html"/>
    <hyperlink ref="B8" r:id="rId9" display="http://www.forbes.com/lists/2008/32/nba08_Cleveland-Cavaliers_324902.html"/>
    <hyperlink ref="B9" r:id="rId10" display="http://www.forbes.com/lists/2008/32/nba08_Houston-Rockets_322525.html"/>
    <hyperlink ref="B10" r:id="rId11" display="http://www.forbes.com/lists/2008/32/nba08_Dallas-Mavericks_324736.html"/>
    <hyperlink ref="B11" r:id="rId12" display="http://www.forbes.com/lists/2008/32/nba08_Phoenix-Suns_321064.html"/>
    <hyperlink ref="B12" r:id="rId13" display="http://www.forbes.com/lists/2008/32/nba08_Boston-Celtics_326173.html"/>
    <hyperlink ref="B13" r:id="rId14" display="http://www.forbes.com/lists/2008/32/nba08_San-Antonio-Spurs_323002.html"/>
    <hyperlink ref="B14" r:id="rId15" display="http://www.forbes.com/lists/2008/32/nba08_Toronto-Raptors_321933.html"/>
    <hyperlink ref="B15" r:id="rId16" display="http://www.forbes.com/lists/2008/32/nba08_Miami-Heat_329036.html"/>
    <hyperlink ref="B16" r:id="rId17" display="http://www.forbes.com/lists/2008/32/nba08_Philadelphia-76ers_321387.html"/>
    <hyperlink ref="B17" r:id="rId18" display="http://www.forbes.com/lists/2008/32/nba08_Utah-Jazz_322274.html"/>
    <hyperlink ref="B18" r:id="rId19" display="http://www.forbes.com/lists/2008/32/nba08_Washington-Wizards_322873.html"/>
    <hyperlink ref="B19" r:id="rId20" display="http://www.forbes.com/lists/2008/32/nba08_Sacramento-Kings_327146.html"/>
    <hyperlink ref="B20" r:id="rId21" display="http://www.forbes.com/lists/2008/32/nba08_Orlando-Magic_324583.html"/>
    <hyperlink ref="B21" r:id="rId22" display="http://www.forbes.com/lists/2008/32/nba08_Golden-State-Warriors_324799.html"/>
    <hyperlink ref="B22" r:id="rId23" display="http://www.forbes.com/lists/2008/32/nba08_Denver-Nuggets_324980.html"/>
    <hyperlink ref="B23" r:id="rId24" display="http://www.forbes.com/lists/2008/32/nba08_Portland-Trail-Blazers_324837.html"/>
    <hyperlink ref="B24" r:id="rId25" display="http://www.forbes.com/lists/2008/32/nba08_Atlanta-Hawks_323662.html"/>
    <hyperlink ref="B25" r:id="rId26" display="http://www.forbes.com/lists/2008/32/nba08_Indiana-Pacers_322134.html"/>
    <hyperlink ref="B26" r:id="rId27" display="http://www.forbes.com/lists/2008/32/nba08_Minnesota-Timberwolves_323346.html"/>
    <hyperlink ref="B27" r:id="rId28" display="http://www.forbes.com/lists/2008/32/nba08_Oklahoma-City-Thunder_329710.html"/>
    <hyperlink ref="B28" r:id="rId29" display="http://www.forbes.com/lists/2008/32/nba08_Los-Angeles-Clippers_322952.html"/>
    <hyperlink ref="B29" r:id="rId30" display="http://www.forbes.com/lists/2008/32/nba08_New-Jersey-Nets_323869.html"/>
    <hyperlink ref="B30" r:id="rId31" display="http://www.forbes.com/lists/2008/32/nba08_Memphis-Grizzlies_325603.html"/>
    <hyperlink ref="B31" r:id="rId32" display="http://www.forbes.com/lists/2008/32/nba08_New-Orleans-Hornets_328959.html"/>
    <hyperlink ref="B32" r:id="rId33" display="http://www.forbes.com/lists/2008/32/nba08_Charlotte-Bobcats_322435.html"/>
    <hyperlink ref="B33" r:id="rId34" display="http://www.forbes.com/lists/2008/32/nba08_Milwaukee-Bucks_325937.html"/>
    <hyperlink ref="G3" r:id="rId35" display="http://www.forbes.com/lists/2008/32/nba08_NBA-Team-Valuations_Income.html"/>
    <hyperlink ref="F3" r:id="rId36" display="http://www.forbes.com/lists/2008/32/nba08_NBA-Team-Valuations_Revenue.html"/>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workbookViewId="0"/>
  </sheetViews>
  <sheetFormatPr defaultColWidth="11.19921875" defaultRowHeight="15.6"/>
  <cols>
    <col min="1" max="1" width="3.296875" customWidth="1"/>
    <col min="2" max="2" width="4.296875" customWidth="1"/>
    <col min="6" max="6" width="14.19921875" style="36" bestFit="1" customWidth="1"/>
    <col min="7" max="7" width="14.69921875" style="36" bestFit="1" customWidth="1"/>
  </cols>
  <sheetData>
    <row r="1" spans="2:7">
      <c r="B1" t="s">
        <v>293</v>
      </c>
      <c r="F1"/>
      <c r="G1"/>
    </row>
    <row r="2" spans="2:7">
      <c r="B2" t="s">
        <v>692</v>
      </c>
      <c r="F2"/>
      <c r="G2"/>
    </row>
    <row r="3" spans="2:7">
      <c r="B3" s="96" t="s">
        <v>693</v>
      </c>
      <c r="F3"/>
      <c r="G3"/>
    </row>
    <row r="4" spans="2:7">
      <c r="F4"/>
      <c r="G4"/>
    </row>
    <row r="5" spans="2:7">
      <c r="B5" s="333" t="s">
        <v>694</v>
      </c>
      <c r="C5" s="333"/>
      <c r="D5" s="333"/>
      <c r="E5" s="333"/>
      <c r="F5" s="136">
        <v>2018</v>
      </c>
      <c r="G5" s="136">
        <v>2017</v>
      </c>
    </row>
    <row r="6" spans="2:7">
      <c r="B6" t="s">
        <v>695</v>
      </c>
      <c r="F6"/>
      <c r="G6"/>
    </row>
    <row r="7" spans="2:7">
      <c r="C7" t="s">
        <v>696</v>
      </c>
      <c r="F7" s="138">
        <f>'Cash Flow'!H20</f>
        <v>-5232502.5386149865</v>
      </c>
      <c r="G7" s="138">
        <f>'Cash Flow'!I20</f>
        <v>-5018971.1211313764</v>
      </c>
    </row>
    <row r="8" spans="2:7">
      <c r="C8" t="s">
        <v>697</v>
      </c>
      <c r="F8" s="139" t="s">
        <v>48</v>
      </c>
      <c r="G8" s="138" t="s">
        <v>48</v>
      </c>
    </row>
    <row r="9" spans="2:7">
      <c r="C9" t="s">
        <v>698</v>
      </c>
      <c r="F9" s="138" t="s">
        <v>48</v>
      </c>
      <c r="G9" s="138" t="s">
        <v>48</v>
      </c>
    </row>
    <row r="10" spans="2:7">
      <c r="D10" t="s">
        <v>699</v>
      </c>
      <c r="F10" s="138">
        <f>SUM(F7:F9)</f>
        <v>-5232502.5386149865</v>
      </c>
      <c r="G10" s="138">
        <f>SUM(G7:G9)</f>
        <v>-5018971.1211313764</v>
      </c>
    </row>
    <row r="11" spans="2:7">
      <c r="F11" s="138"/>
      <c r="G11" s="138"/>
    </row>
    <row r="12" spans="2:7">
      <c r="B12" s="333" t="s">
        <v>700</v>
      </c>
      <c r="C12" s="333"/>
      <c r="D12" s="333"/>
      <c r="E12" s="333"/>
      <c r="F12" s="138"/>
      <c r="G12" s="138"/>
    </row>
    <row r="13" spans="2:7">
      <c r="B13" t="s">
        <v>701</v>
      </c>
      <c r="F13" s="138"/>
      <c r="G13" s="138"/>
    </row>
    <row r="14" spans="2:7">
      <c r="C14" t="s">
        <v>702</v>
      </c>
      <c r="F14" s="138" t="s">
        <v>48</v>
      </c>
      <c r="G14" s="138" t="s">
        <v>48</v>
      </c>
    </row>
    <row r="15" spans="2:7">
      <c r="C15" t="s">
        <v>703</v>
      </c>
      <c r="F15" s="138" t="s">
        <v>48</v>
      </c>
      <c r="G15" s="138" t="s">
        <v>48</v>
      </c>
    </row>
    <row r="16" spans="2:7">
      <c r="D16" t="s">
        <v>704</v>
      </c>
      <c r="F16" s="138">
        <f>SUM(F14:F15)</f>
        <v>0</v>
      </c>
      <c r="G16" s="138">
        <f>SUM(G14:G15)</f>
        <v>0</v>
      </c>
    </row>
    <row r="17" spans="2:11">
      <c r="F17" s="138"/>
      <c r="G17" s="138"/>
    </row>
    <row r="18" spans="2:11">
      <c r="B18" s="333" t="s">
        <v>781</v>
      </c>
      <c r="C18" s="333"/>
      <c r="D18" s="333"/>
      <c r="E18" s="333"/>
      <c r="F18" s="138">
        <f>F10-F16</f>
        <v>-5232502.5386149865</v>
      </c>
      <c r="G18" s="138">
        <f>G10-G16</f>
        <v>-5018971.1211313764</v>
      </c>
    </row>
    <row r="19" spans="2:11">
      <c r="B19" t="s">
        <v>705</v>
      </c>
      <c r="F19" s="138" t="s">
        <v>48</v>
      </c>
      <c r="G19" s="138" t="s">
        <v>48</v>
      </c>
    </row>
    <row r="20" spans="2:11">
      <c r="B20" t="s">
        <v>706</v>
      </c>
      <c r="F20" s="138" t="s">
        <v>48</v>
      </c>
      <c r="G20" s="138" t="s">
        <v>48</v>
      </c>
      <c r="J20" s="97"/>
      <c r="K20" s="39"/>
    </row>
    <row r="21" spans="2:11">
      <c r="F21" s="138"/>
      <c r="G21" s="138"/>
      <c r="J21" s="39"/>
      <c r="K21" s="39"/>
    </row>
    <row r="22" spans="2:11">
      <c r="F22" s="138"/>
      <c r="G22" s="138"/>
      <c r="J22" s="39"/>
      <c r="K22" s="39"/>
    </row>
    <row r="23" spans="2:11">
      <c r="F23" s="138"/>
      <c r="G23" s="138"/>
      <c r="J23" s="39"/>
      <c r="K23" s="39"/>
    </row>
    <row r="24" spans="2:11">
      <c r="J24" s="39"/>
      <c r="K24" s="39"/>
    </row>
    <row r="25" spans="2:11">
      <c r="J25" s="39"/>
      <c r="K25" s="39"/>
    </row>
    <row r="26" spans="2:11">
      <c r="J26" s="39"/>
      <c r="K26" s="39"/>
    </row>
    <row r="27" spans="2:11">
      <c r="J27" s="39"/>
      <c r="K27" s="39"/>
    </row>
    <row r="28" spans="2:11">
      <c r="J28" s="39"/>
      <c r="K28" s="39"/>
    </row>
    <row r="29" spans="2:11">
      <c r="J29" s="39"/>
      <c r="K29" s="39"/>
    </row>
    <row r="30" spans="2:11">
      <c r="J30" s="39"/>
      <c r="K30" s="39"/>
    </row>
  </sheetData>
  <mergeCells count="3">
    <mergeCell ref="B5:E5"/>
    <mergeCell ref="B12:E12"/>
    <mergeCell ref="B18:E1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heetViews>
  <sheetFormatPr defaultColWidth="8.19921875" defaultRowHeight="14.4"/>
  <cols>
    <col min="1" max="1" width="7.19921875" style="63" customWidth="1"/>
    <col min="2" max="2" width="21.5" style="63" customWidth="1"/>
    <col min="3" max="4" width="19.796875" style="63" customWidth="1"/>
    <col min="5" max="5" width="16.19921875" style="63" customWidth="1"/>
    <col min="6" max="6" width="14.19921875" style="63" customWidth="1"/>
    <col min="7" max="7" width="21.5" style="63" customWidth="1"/>
    <col min="8" max="9" width="8.19921875" style="63"/>
    <col min="10" max="10" width="15" style="63" bestFit="1" customWidth="1"/>
    <col min="11" max="16384" width="8.19921875" style="63"/>
  </cols>
  <sheetData>
    <row r="1" spans="1:10" ht="15" customHeight="1">
      <c r="A1" s="71" t="s">
        <v>666</v>
      </c>
      <c r="B1" s="71"/>
      <c r="C1" s="71"/>
      <c r="D1" s="71"/>
      <c r="E1" s="71"/>
      <c r="F1" s="71"/>
      <c r="G1" s="71"/>
    </row>
    <row r="2" spans="1:10" ht="15" customHeight="1">
      <c r="A2" s="71"/>
      <c r="B2" s="71"/>
      <c r="C2" s="71"/>
      <c r="D2" s="71"/>
      <c r="E2" s="71"/>
      <c r="F2" s="71"/>
      <c r="G2" s="71"/>
    </row>
    <row r="3" spans="1:10">
      <c r="A3" s="72" t="s">
        <v>225</v>
      </c>
      <c r="B3" s="73" t="s">
        <v>325</v>
      </c>
      <c r="C3" s="73" t="s">
        <v>667</v>
      </c>
      <c r="D3" s="73" t="s">
        <v>463</v>
      </c>
      <c r="E3" s="73" t="s">
        <v>668</v>
      </c>
      <c r="F3" s="73" t="s">
        <v>669</v>
      </c>
      <c r="G3" s="73" t="s">
        <v>670</v>
      </c>
    </row>
    <row r="4" spans="1:10">
      <c r="A4" s="74">
        <v>1</v>
      </c>
      <c r="B4" s="75" t="s">
        <v>291</v>
      </c>
      <c r="C4" s="76">
        <v>608</v>
      </c>
      <c r="D4" s="76">
        <v>3</v>
      </c>
      <c r="E4" s="76">
        <v>0</v>
      </c>
      <c r="F4" s="76">
        <v>196</v>
      </c>
      <c r="G4" s="76">
        <v>-42.2</v>
      </c>
      <c r="J4" s="67">
        <f>C4*1000000</f>
        <v>608000000</v>
      </c>
    </row>
    <row r="5" spans="1:10">
      <c r="A5" s="74">
        <v>2</v>
      </c>
      <c r="B5" s="75" t="s">
        <v>292</v>
      </c>
      <c r="C5" s="76">
        <v>560</v>
      </c>
      <c r="D5" s="76">
        <v>-2</v>
      </c>
      <c r="E5" s="76">
        <v>15</v>
      </c>
      <c r="F5" s="76">
        <v>170</v>
      </c>
      <c r="G5" s="76">
        <v>31.8</v>
      </c>
      <c r="J5" s="67">
        <f t="shared" ref="J5:J33" si="0">C5*1000000</f>
        <v>560000000</v>
      </c>
    </row>
    <row r="6" spans="1:10">
      <c r="A6" s="74">
        <v>3</v>
      </c>
      <c r="B6" s="75" t="s">
        <v>293</v>
      </c>
      <c r="C6" s="76">
        <v>500</v>
      </c>
      <c r="D6" s="76">
        <v>9</v>
      </c>
      <c r="E6" s="76">
        <v>11</v>
      </c>
      <c r="F6" s="76">
        <v>161</v>
      </c>
      <c r="G6" s="76">
        <v>59.3</v>
      </c>
      <c r="J6" s="67">
        <f t="shared" si="0"/>
        <v>500000000</v>
      </c>
    </row>
    <row r="7" spans="1:10">
      <c r="A7" s="74">
        <v>4</v>
      </c>
      <c r="B7" s="75" t="s">
        <v>312</v>
      </c>
      <c r="C7" s="76">
        <v>477</v>
      </c>
      <c r="D7" s="76">
        <v>11</v>
      </c>
      <c r="E7" s="76">
        <v>0</v>
      </c>
      <c r="F7" s="76">
        <v>154</v>
      </c>
      <c r="G7" s="76">
        <v>39.200000000000003</v>
      </c>
      <c r="J7" s="67">
        <f t="shared" si="0"/>
        <v>477000000</v>
      </c>
    </row>
    <row r="8" spans="1:10">
      <c r="A8" s="74">
        <v>5</v>
      </c>
      <c r="B8" s="75" t="s">
        <v>299</v>
      </c>
      <c r="C8" s="76">
        <v>462</v>
      </c>
      <c r="D8" s="76">
        <v>5</v>
      </c>
      <c r="E8" s="76">
        <v>15</v>
      </c>
      <c r="F8" s="76">
        <v>149</v>
      </c>
      <c r="G8" s="76">
        <v>29.7</v>
      </c>
      <c r="J8" s="67">
        <f t="shared" si="0"/>
        <v>462000000</v>
      </c>
    </row>
    <row r="9" spans="1:10">
      <c r="A9" s="74">
        <v>6</v>
      </c>
      <c r="B9" s="75" t="s">
        <v>300</v>
      </c>
      <c r="C9" s="76">
        <v>461</v>
      </c>
      <c r="D9" s="76">
        <v>-1</v>
      </c>
      <c r="E9" s="76">
        <v>27</v>
      </c>
      <c r="F9" s="76">
        <v>140</v>
      </c>
      <c r="G9" s="76">
        <v>-1.6</v>
      </c>
      <c r="J9" s="67">
        <f t="shared" si="0"/>
        <v>461000000</v>
      </c>
    </row>
    <row r="10" spans="1:10">
      <c r="A10" s="74">
        <v>7</v>
      </c>
      <c r="B10" s="75" t="s">
        <v>303</v>
      </c>
      <c r="C10" s="76">
        <v>455</v>
      </c>
      <c r="D10" s="76">
        <v>20</v>
      </c>
      <c r="E10" s="76">
        <v>44</v>
      </c>
      <c r="F10" s="76">
        <v>152</v>
      </c>
      <c r="G10" s="76">
        <v>31.9</v>
      </c>
      <c r="J10" s="67">
        <f t="shared" si="0"/>
        <v>455000000</v>
      </c>
    </row>
    <row r="11" spans="1:10">
      <c r="A11" s="74">
        <v>8</v>
      </c>
      <c r="B11" s="75" t="s">
        <v>304</v>
      </c>
      <c r="C11" s="76">
        <v>449</v>
      </c>
      <c r="D11" s="76">
        <v>10</v>
      </c>
      <c r="E11" s="76">
        <v>39</v>
      </c>
      <c r="F11" s="76">
        <v>145</v>
      </c>
      <c r="G11" s="76">
        <v>37.299999999999997</v>
      </c>
      <c r="J11" s="67">
        <f t="shared" si="0"/>
        <v>449000000</v>
      </c>
    </row>
    <row r="12" spans="1:10">
      <c r="A12" s="74">
        <v>9</v>
      </c>
      <c r="B12" s="75" t="s">
        <v>301</v>
      </c>
      <c r="C12" s="76">
        <v>418</v>
      </c>
      <c r="D12" s="76">
        <v>2</v>
      </c>
      <c r="E12" s="76">
        <v>42</v>
      </c>
      <c r="F12" s="76">
        <v>131</v>
      </c>
      <c r="G12" s="76">
        <v>17.899999999999999</v>
      </c>
      <c r="J12" s="67">
        <f t="shared" si="0"/>
        <v>418000000</v>
      </c>
    </row>
    <row r="13" spans="1:10">
      <c r="A13" s="74">
        <v>10</v>
      </c>
      <c r="B13" s="75" t="s">
        <v>302</v>
      </c>
      <c r="C13" s="76">
        <v>405</v>
      </c>
      <c r="D13" s="76">
        <v>4</v>
      </c>
      <c r="E13" s="76">
        <v>14</v>
      </c>
      <c r="F13" s="76">
        <v>131</v>
      </c>
      <c r="G13" s="76">
        <v>15.5</v>
      </c>
      <c r="J13" s="67">
        <f t="shared" si="0"/>
        <v>405000000</v>
      </c>
    </row>
    <row r="14" spans="1:10">
      <c r="A14" s="74">
        <v>11</v>
      </c>
      <c r="B14" s="75" t="s">
        <v>294</v>
      </c>
      <c r="C14" s="76">
        <v>391</v>
      </c>
      <c r="D14" s="76">
        <v>6</v>
      </c>
      <c r="E14" s="76">
        <v>46</v>
      </c>
      <c r="F14" s="76">
        <v>117</v>
      </c>
      <c r="G14" s="76">
        <v>18.3</v>
      </c>
      <c r="J14" s="67">
        <f t="shared" si="0"/>
        <v>391000000</v>
      </c>
    </row>
    <row r="15" spans="1:10">
      <c r="A15" s="74">
        <v>12</v>
      </c>
      <c r="B15" s="75" t="s">
        <v>308</v>
      </c>
      <c r="C15" s="76">
        <v>385</v>
      </c>
      <c r="D15" s="76">
        <v>2</v>
      </c>
      <c r="E15" s="76">
        <v>22</v>
      </c>
      <c r="F15" s="76">
        <v>128</v>
      </c>
      <c r="G15" s="76">
        <v>20.5</v>
      </c>
      <c r="J15" s="67">
        <f t="shared" si="0"/>
        <v>385000000</v>
      </c>
    </row>
    <row r="16" spans="1:10">
      <c r="A16" s="74">
        <v>13</v>
      </c>
      <c r="B16" s="75" t="s">
        <v>319</v>
      </c>
      <c r="C16" s="76">
        <v>380</v>
      </c>
      <c r="D16" s="76">
        <v>1</v>
      </c>
      <c r="E16" s="76">
        <v>17</v>
      </c>
      <c r="F16" s="76">
        <v>112</v>
      </c>
      <c r="G16" s="76">
        <v>-2.8</v>
      </c>
      <c r="J16" s="67">
        <f t="shared" si="0"/>
        <v>380000000</v>
      </c>
    </row>
    <row r="17" spans="1:10">
      <c r="A17" s="74">
        <v>14</v>
      </c>
      <c r="B17" s="75" t="s">
        <v>305</v>
      </c>
      <c r="C17" s="76">
        <v>373</v>
      </c>
      <c r="D17" s="76">
        <v>18</v>
      </c>
      <c r="E17" s="76">
        <v>44</v>
      </c>
      <c r="F17" s="76">
        <v>124</v>
      </c>
      <c r="G17" s="76">
        <v>28.8</v>
      </c>
      <c r="J17" s="67">
        <f t="shared" si="0"/>
        <v>373000000</v>
      </c>
    </row>
    <row r="18" spans="1:10">
      <c r="A18" s="74">
        <v>15</v>
      </c>
      <c r="B18" s="75" t="s">
        <v>307</v>
      </c>
      <c r="C18" s="76">
        <v>348</v>
      </c>
      <c r="D18" s="76">
        <v>4</v>
      </c>
      <c r="E18" s="76">
        <v>48</v>
      </c>
      <c r="F18" s="76">
        <v>112</v>
      </c>
      <c r="G18" s="76">
        <v>11.6</v>
      </c>
      <c r="J18" s="67">
        <f t="shared" si="0"/>
        <v>348000000</v>
      </c>
    </row>
    <row r="19" spans="1:10">
      <c r="A19" s="74">
        <v>16</v>
      </c>
      <c r="B19" s="75" t="s">
        <v>310</v>
      </c>
      <c r="C19" s="76">
        <v>342</v>
      </c>
      <c r="D19" s="76">
        <v>15</v>
      </c>
      <c r="E19" s="76">
        <v>5</v>
      </c>
      <c r="F19" s="76">
        <v>114</v>
      </c>
      <c r="G19" s="76">
        <v>5.7</v>
      </c>
      <c r="J19" s="67">
        <f t="shared" si="0"/>
        <v>342000000</v>
      </c>
    </row>
    <row r="20" spans="1:10">
      <c r="A20" s="74">
        <v>17</v>
      </c>
      <c r="B20" s="75" t="s">
        <v>480</v>
      </c>
      <c r="C20" s="76">
        <v>338</v>
      </c>
      <c r="D20" s="76">
        <v>4</v>
      </c>
      <c r="E20" s="76">
        <v>62</v>
      </c>
      <c r="F20" s="76">
        <v>102</v>
      </c>
      <c r="G20" s="76">
        <v>-1.3</v>
      </c>
      <c r="J20" s="67">
        <f t="shared" si="0"/>
        <v>338000000</v>
      </c>
    </row>
    <row r="21" spans="1:10">
      <c r="A21" s="74">
        <v>18</v>
      </c>
      <c r="B21" s="75" t="s">
        <v>313</v>
      </c>
      <c r="C21" s="76">
        <v>333</v>
      </c>
      <c r="D21" s="76">
        <v>-2</v>
      </c>
      <c r="E21" s="76">
        <v>14</v>
      </c>
      <c r="F21" s="76">
        <v>107</v>
      </c>
      <c r="G21" s="76">
        <v>-1.3</v>
      </c>
      <c r="J21" s="67">
        <f t="shared" si="0"/>
        <v>333000000</v>
      </c>
    </row>
    <row r="22" spans="1:10">
      <c r="A22" s="74">
        <v>19</v>
      </c>
      <c r="B22" s="75" t="s">
        <v>309</v>
      </c>
      <c r="C22" s="76">
        <v>322</v>
      </c>
      <c r="D22" s="76">
        <v>14</v>
      </c>
      <c r="E22" s="76">
        <v>19</v>
      </c>
      <c r="F22" s="76">
        <v>92</v>
      </c>
      <c r="G22" s="76">
        <v>4.5999999999999996</v>
      </c>
      <c r="J22" s="67">
        <f t="shared" si="0"/>
        <v>322000000</v>
      </c>
    </row>
    <row r="23" spans="1:10">
      <c r="A23" s="74">
        <v>20</v>
      </c>
      <c r="B23" s="75" t="s">
        <v>311</v>
      </c>
      <c r="C23" s="76">
        <v>321</v>
      </c>
      <c r="D23" s="76">
        <v>4</v>
      </c>
      <c r="E23" s="76">
        <v>16</v>
      </c>
      <c r="F23" s="76">
        <v>104</v>
      </c>
      <c r="G23" s="76">
        <v>-4.8</v>
      </c>
      <c r="J23" s="67">
        <f t="shared" si="0"/>
        <v>321000000</v>
      </c>
    </row>
    <row r="24" spans="1:10">
      <c r="A24" s="74">
        <v>21</v>
      </c>
      <c r="B24" s="75" t="s">
        <v>296</v>
      </c>
      <c r="C24" s="76">
        <v>309</v>
      </c>
      <c r="D24" s="76">
        <v>16</v>
      </c>
      <c r="E24" s="76">
        <v>24</v>
      </c>
      <c r="F24" s="76">
        <v>103</v>
      </c>
      <c r="G24" s="76">
        <v>1.3</v>
      </c>
      <c r="J24" s="67">
        <f t="shared" si="0"/>
        <v>309000000</v>
      </c>
    </row>
    <row r="25" spans="1:10">
      <c r="A25" s="74">
        <v>22</v>
      </c>
      <c r="B25" s="75" t="s">
        <v>318</v>
      </c>
      <c r="C25" s="76">
        <v>308</v>
      </c>
      <c r="D25" s="76">
        <v>0</v>
      </c>
      <c r="E25" s="76">
        <v>16</v>
      </c>
      <c r="F25" s="76">
        <v>103</v>
      </c>
      <c r="G25" s="76">
        <v>-1.9</v>
      </c>
      <c r="J25" s="67">
        <f t="shared" si="0"/>
        <v>308000000</v>
      </c>
    </row>
    <row r="26" spans="1:10">
      <c r="A26" s="74">
        <v>23</v>
      </c>
      <c r="B26" s="75" t="s">
        <v>315</v>
      </c>
      <c r="C26" s="76">
        <v>304</v>
      </c>
      <c r="D26" s="76">
        <v>-3</v>
      </c>
      <c r="E26" s="76">
        <v>49</v>
      </c>
      <c r="F26" s="76">
        <v>98</v>
      </c>
      <c r="G26" s="76">
        <v>-10.9</v>
      </c>
      <c r="J26" s="67">
        <f t="shared" si="0"/>
        <v>304000000</v>
      </c>
    </row>
    <row r="27" spans="1:10">
      <c r="A27" s="74">
        <v>24</v>
      </c>
      <c r="B27" s="75" t="s">
        <v>295</v>
      </c>
      <c r="C27" s="76">
        <v>294</v>
      </c>
      <c r="D27" s="76">
        <v>3</v>
      </c>
      <c r="E27" s="76">
        <v>0</v>
      </c>
      <c r="F27" s="76">
        <v>98</v>
      </c>
      <c r="G27" s="76">
        <v>9.8000000000000007</v>
      </c>
      <c r="J27" s="67">
        <f t="shared" si="0"/>
        <v>294000000</v>
      </c>
    </row>
    <row r="28" spans="1:10">
      <c r="A28" s="74">
        <v>25</v>
      </c>
      <c r="B28" s="75" t="s">
        <v>467</v>
      </c>
      <c r="C28" s="76">
        <v>287</v>
      </c>
      <c r="D28" s="76">
        <v>4</v>
      </c>
      <c r="E28" s="76">
        <v>52</v>
      </c>
      <c r="F28" s="76">
        <v>93</v>
      </c>
      <c r="G28" s="76">
        <v>5.3</v>
      </c>
      <c r="J28" s="67">
        <f t="shared" si="0"/>
        <v>287000000</v>
      </c>
    </row>
    <row r="29" spans="1:10">
      <c r="A29" s="74">
        <v>26</v>
      </c>
      <c r="B29" s="75" t="s">
        <v>314</v>
      </c>
      <c r="C29" s="76">
        <v>286</v>
      </c>
      <c r="D29" s="76">
        <v>4</v>
      </c>
      <c r="E29" s="76">
        <v>25</v>
      </c>
      <c r="F29" s="76">
        <v>95</v>
      </c>
      <c r="G29" s="76">
        <v>9.6999999999999993</v>
      </c>
      <c r="J29" s="67">
        <f t="shared" si="0"/>
        <v>286000000</v>
      </c>
    </row>
    <row r="30" spans="1:10">
      <c r="A30" s="74">
        <v>27</v>
      </c>
      <c r="B30" s="75" t="s">
        <v>322</v>
      </c>
      <c r="C30" s="76">
        <v>272</v>
      </c>
      <c r="D30" s="76">
        <v>10</v>
      </c>
      <c r="E30" s="76">
        <v>55</v>
      </c>
      <c r="F30" s="76">
        <v>91</v>
      </c>
      <c r="G30" s="76">
        <v>10.199999999999999</v>
      </c>
      <c r="J30" s="67">
        <f t="shared" si="0"/>
        <v>272000000</v>
      </c>
    </row>
    <row r="31" spans="1:10">
      <c r="A31" s="74">
        <v>28</v>
      </c>
      <c r="B31" s="75" t="s">
        <v>671</v>
      </c>
      <c r="C31" s="76">
        <v>269</v>
      </c>
      <c r="D31" s="76">
        <v>0</v>
      </c>
      <c r="E31" s="76">
        <v>52</v>
      </c>
      <c r="F31" s="76">
        <v>81</v>
      </c>
      <c r="G31" s="76">
        <v>-5.7</v>
      </c>
      <c r="J31" s="67">
        <f t="shared" si="0"/>
        <v>269000000</v>
      </c>
    </row>
    <row r="32" spans="1:10">
      <c r="A32" s="74">
        <v>29</v>
      </c>
      <c r="B32" s="75" t="s">
        <v>320</v>
      </c>
      <c r="C32" s="76">
        <v>264</v>
      </c>
      <c r="D32" s="76">
        <v>1</v>
      </c>
      <c r="E32" s="76">
        <v>21</v>
      </c>
      <c r="F32" s="76">
        <v>88</v>
      </c>
      <c r="G32" s="76">
        <v>1.7</v>
      </c>
      <c r="J32" s="67">
        <f t="shared" si="0"/>
        <v>264000000</v>
      </c>
    </row>
    <row r="33" spans="1:10">
      <c r="A33" s="74">
        <v>30</v>
      </c>
      <c r="B33" s="75" t="s">
        <v>306</v>
      </c>
      <c r="C33" s="76">
        <v>253</v>
      </c>
      <c r="D33" s="76">
        <v>10</v>
      </c>
      <c r="E33" s="76">
        <v>41</v>
      </c>
      <c r="F33" s="76">
        <v>82</v>
      </c>
      <c r="G33" s="76">
        <v>-25.1</v>
      </c>
      <c r="J33" s="67">
        <f t="shared" si="0"/>
        <v>253000000</v>
      </c>
    </row>
    <row r="34" spans="1:10">
      <c r="A34" s="74"/>
      <c r="B34" s="75"/>
      <c r="C34" s="76"/>
      <c r="D34" s="76"/>
      <c r="E34" s="76"/>
      <c r="F34" s="76"/>
      <c r="G34" s="76"/>
    </row>
    <row r="35" spans="1:10" ht="15" customHeight="1">
      <c r="A35" s="77" t="s">
        <v>672</v>
      </c>
      <c r="B35" s="77"/>
      <c r="C35" s="77"/>
      <c r="D35" s="77"/>
      <c r="E35" s="77"/>
      <c r="F35" s="77"/>
      <c r="G35" s="77"/>
    </row>
    <row r="36" spans="1:10" ht="15" customHeight="1">
      <c r="A36" s="77" t="s">
        <v>673</v>
      </c>
      <c r="B36" s="77"/>
      <c r="C36" s="77"/>
      <c r="D36" s="77"/>
      <c r="E36" s="77"/>
      <c r="F36" s="77"/>
      <c r="G36" s="77"/>
    </row>
    <row r="37" spans="1:10" ht="15" customHeight="1">
      <c r="A37" s="77" t="s">
        <v>674</v>
      </c>
      <c r="B37" s="77"/>
      <c r="C37" s="77"/>
      <c r="D37" s="77"/>
      <c r="E37" s="77"/>
      <c r="F37" s="77"/>
      <c r="G37" s="77"/>
    </row>
    <row r="38" spans="1:10" ht="15" customHeight="1">
      <c r="A38" s="77" t="s">
        <v>675</v>
      </c>
      <c r="B38" s="77"/>
      <c r="C38" s="77"/>
      <c r="D38" s="77"/>
      <c r="E38" s="77"/>
      <c r="F38" s="77"/>
      <c r="G38" s="77"/>
    </row>
    <row r="39" spans="1:10" ht="15" customHeight="1">
      <c r="A39" s="77" t="s">
        <v>665</v>
      </c>
      <c r="B39" s="77"/>
      <c r="C39" s="77"/>
      <c r="D39" s="77"/>
      <c r="E39" s="77"/>
      <c r="F39" s="77"/>
      <c r="G39" s="77"/>
    </row>
  </sheetData>
  <hyperlinks>
    <hyperlink ref="B3" r:id="rId1" display="http://www.forbes.com/lists/2007/32/biz_07nba_NBA-Team-Valuations_MetroArea.html"/>
    <hyperlink ref="C3" r:id="rId2" display="http://www.forbes.com/lists/2007/32/biz_07nba_NBA-Team-Valuations_Value.html"/>
    <hyperlink ref="D3" r:id="rId3" display="http://www.forbes.com/lists/2007/32/biz_07nba_NBA-Team-Valuations_YrChange.html"/>
    <hyperlink ref="E3" r:id="rId4" display="http://www.forbes.com/lists/2007/32/biz_07nba_NBA-Team-Valuations_DOV.html"/>
    <hyperlink ref="F3" r:id="rId5" display="http://www.forbes.com/lists/2007/32/biz_07nba_NBA-Team-Valuations_Revenue.html"/>
    <hyperlink ref="G3" r:id="rId6" display="http://www.forbes.com/lists/2007/32/biz_07nba_NBA-Team-Valuations_Income.html"/>
    <hyperlink ref="B4" r:id="rId7" display="http://www.forbes.com/lists/2007/32/biz_07nba_New-York-Knicks_328815.html"/>
    <hyperlink ref="B5" r:id="rId8" display="http://www.forbes.com/lists/2007/32/biz_07nba_Los-Angeles-Lakers_320250.html"/>
    <hyperlink ref="B6" r:id="rId9" display="http://www.forbes.com/lists/2007/32/biz_07nba_Chicago-Bulls_321267.html"/>
    <hyperlink ref="B7" r:id="rId10" display="http://www.forbes.com/lists/2007/32/biz_07nba_Detroit-Pistons_320844.html"/>
    <hyperlink ref="B8" r:id="rId11" display="http://www.forbes.com/lists/2007/32/biz_07nba_Houston-Rockets_322525.html"/>
    <hyperlink ref="B9" r:id="rId12" display="http://www.forbes.com/lists/2007/32/biz_07nba_Dallas-Mavericks_324736.html"/>
    <hyperlink ref="B10" r:id="rId13" display="http://www.forbes.com/lists/2007/32/biz_07nba_Cleveland-Cavaliers_324902.html"/>
    <hyperlink ref="B11" r:id="rId14" display="http://www.forbes.com/lists/2007/32/biz_07nba_Phoenix-Suns_321064.html"/>
    <hyperlink ref="B12" r:id="rId15" display="http://www.forbes.com/lists/2007/32/biz_07nba_Miami-Heat_329036.html"/>
    <hyperlink ref="B13" r:id="rId16" display="http://www.forbes.com/lists/2007/32/biz_07nba_San-Antonio-Spurs_323002.html"/>
    <hyperlink ref="B14" r:id="rId17" display="http://www.forbes.com/lists/2007/32/biz_07nba_Boston-Celtics_326173.html"/>
    <hyperlink ref="B15" r:id="rId18" display="http://www.forbes.com/lists/2007/32/biz_07nba_Sacramento-Kings_327146.html"/>
    <hyperlink ref="B16" r:id="rId19" display="http://www.forbes.com/lists/2007/32/biz_07nba_Philadelphia-76ers_321387.html"/>
    <hyperlink ref="B17" r:id="rId20" display="http://www.forbes.com/lists/2007/32/biz_07nba_Toronto-Raptors_321933.html"/>
    <hyperlink ref="B18" r:id="rId21" display="http://www.forbes.com/lists/2007/32/biz_07nba_Washington-Wizards_322873.html"/>
    <hyperlink ref="B19" r:id="rId22" display="http://www.forbes.com/lists/2007/32/biz_07nba_Utah-Jazz_322274.html"/>
    <hyperlink ref="B20" r:id="rId23" display="http://www.forbes.com/lists/2007/32/biz_07nba_New-Jersey-Nets_323869.html"/>
    <hyperlink ref="B21" r:id="rId24" display="http://www.forbes.com/lists/2007/32/biz_07nba_Indiana-Pacers_322134.html"/>
    <hyperlink ref="B22" r:id="rId25" display="http://www.forbes.com/lists/2007/32/biz_07nba_Orlando-Magic_324583.html"/>
    <hyperlink ref="B23" r:id="rId26" display="http://www.forbes.com/lists/2007/32/biz_07nba_Denver-Nuggets_324980.html"/>
    <hyperlink ref="B24" r:id="rId27" display="http://www.forbes.com/lists/2007/32/biz_07nba_Golden-State-Warriors_324799.html"/>
    <hyperlink ref="B25" r:id="rId28" display="http://www.forbes.com/lists/2007/32/biz_07nba_Minnesota-Timberwolves_323346.html"/>
    <hyperlink ref="B26" r:id="rId29" display="http://www.forbes.com/lists/2007/32/biz_07nba_Memphis-Grizzlies_325603.html"/>
    <hyperlink ref="B27" r:id="rId30" display="http://www.forbes.com/lists/2007/32/biz_07nba_Los-Angeles-Clippers_322952.html"/>
    <hyperlink ref="B28" r:id="rId31" display="http://www.forbes.com/lists/2007/32/biz_07nba_Charlotte-Bobcats_322435.html"/>
    <hyperlink ref="B29" r:id="rId32" display="http://www.forbes.com/lists/2007/32/biz_07nba_Atlanta-Hawks_323662.html"/>
    <hyperlink ref="B30" r:id="rId33" display="http://www.forbes.com/lists/2007/32/biz_07nba_New-Orleans-Hornets_328959.html"/>
    <hyperlink ref="B31" r:id="rId34" display="http://www.forbes.com/lists/2007/32/biz_07nba_Seattle-SuperSonics_329710.html"/>
    <hyperlink ref="B32" r:id="rId35" display="http://www.forbes.com/lists/2007/32/biz_07nba_Milwaukee-Bucks_325937.html"/>
    <hyperlink ref="B33" r:id="rId36" display="http://www.forbes.com/lists/2007/32/biz_07nba_Portland-Trail-Blazers_324837.html"/>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defaultColWidth="18.796875" defaultRowHeight="13.2"/>
  <cols>
    <col min="1" max="1" width="5" style="79" customWidth="1"/>
    <col min="2" max="2" width="19.296875" style="79" customWidth="1"/>
    <col min="3" max="3" width="18.296875" style="79" customWidth="1"/>
    <col min="4" max="4" width="18.796875" style="79" customWidth="1"/>
    <col min="5" max="5" width="14.796875" style="79" customWidth="1"/>
    <col min="6" max="6" width="14.19921875" style="79" customWidth="1"/>
    <col min="7" max="7" width="20.296875" style="79" customWidth="1"/>
    <col min="8" max="16384" width="18.796875" style="79"/>
  </cols>
  <sheetData>
    <row r="1" spans="1:9" ht="12.75" customHeight="1">
      <c r="A1" s="78" t="s">
        <v>676</v>
      </c>
      <c r="B1" s="78"/>
      <c r="C1" s="78"/>
      <c r="D1" s="78"/>
      <c r="E1" s="78"/>
      <c r="F1" s="78"/>
      <c r="G1" s="78"/>
    </row>
    <row r="2" spans="1:9" ht="12.75" customHeight="1">
      <c r="A2" s="78" t="s">
        <v>677</v>
      </c>
      <c r="B2" s="78"/>
      <c r="C2" s="78"/>
      <c r="D2" s="78"/>
      <c r="E2" s="78"/>
      <c r="F2" s="78"/>
      <c r="G2" s="78"/>
    </row>
    <row r="3" spans="1:9">
      <c r="A3" s="78"/>
      <c r="B3" s="78"/>
      <c r="C3" s="78"/>
      <c r="D3" s="78"/>
      <c r="E3" s="78"/>
      <c r="F3" s="78"/>
      <c r="G3" s="78"/>
    </row>
    <row r="4" spans="1:9">
      <c r="A4" s="78"/>
      <c r="B4" s="78"/>
      <c r="C4" s="78"/>
      <c r="D4" s="78"/>
      <c r="E4" s="78"/>
      <c r="F4" s="78"/>
      <c r="G4" s="78"/>
    </row>
    <row r="5" spans="1:9">
      <c r="A5" s="80" t="s">
        <v>225</v>
      </c>
      <c r="B5" s="81" t="s">
        <v>325</v>
      </c>
      <c r="C5" s="81" t="s">
        <v>667</v>
      </c>
      <c r="D5" s="81" t="s">
        <v>463</v>
      </c>
      <c r="E5" s="81" t="s">
        <v>668</v>
      </c>
      <c r="F5" s="81" t="s">
        <v>669</v>
      </c>
      <c r="G5" s="81" t="s">
        <v>670</v>
      </c>
    </row>
    <row r="6" spans="1:9">
      <c r="A6" s="82">
        <v>1</v>
      </c>
      <c r="B6" s="83" t="s">
        <v>291</v>
      </c>
      <c r="C6" s="84">
        <v>592</v>
      </c>
      <c r="D6" s="84">
        <v>9</v>
      </c>
      <c r="E6" s="84">
        <v>0</v>
      </c>
      <c r="F6" s="84">
        <v>185</v>
      </c>
      <c r="G6" s="84">
        <v>-39</v>
      </c>
      <c r="I6" s="85">
        <f>C6*1000000</f>
        <v>592000000</v>
      </c>
    </row>
    <row r="7" spans="1:9">
      <c r="A7" s="82">
        <v>2</v>
      </c>
      <c r="B7" s="83" t="s">
        <v>292</v>
      </c>
      <c r="C7" s="84">
        <v>568</v>
      </c>
      <c r="D7" s="84">
        <v>7</v>
      </c>
      <c r="E7" s="84">
        <v>15</v>
      </c>
      <c r="F7" s="84">
        <v>167</v>
      </c>
      <c r="G7" s="84">
        <v>33.299999999999997</v>
      </c>
      <c r="I7" s="85">
        <f t="shared" ref="I7:I35" si="0">C7*1000000</f>
        <v>568000000</v>
      </c>
    </row>
    <row r="8" spans="1:9">
      <c r="A8" s="82">
        <v>3</v>
      </c>
      <c r="B8" s="83" t="s">
        <v>300</v>
      </c>
      <c r="C8" s="84">
        <v>463</v>
      </c>
      <c r="D8" s="84">
        <v>15</v>
      </c>
      <c r="E8" s="84">
        <v>30</v>
      </c>
      <c r="F8" s="84">
        <v>140</v>
      </c>
      <c r="G8" s="84">
        <v>-24.4</v>
      </c>
      <c r="I8" s="85">
        <f t="shared" si="0"/>
        <v>463000000</v>
      </c>
    </row>
    <row r="9" spans="1:9">
      <c r="A9" s="82">
        <v>4</v>
      </c>
      <c r="B9" s="83" t="s">
        <v>293</v>
      </c>
      <c r="C9" s="84">
        <v>461</v>
      </c>
      <c r="D9" s="84">
        <v>13</v>
      </c>
      <c r="E9" s="84">
        <v>12</v>
      </c>
      <c r="F9" s="84">
        <v>149</v>
      </c>
      <c r="G9" s="84">
        <v>48.5</v>
      </c>
      <c r="I9" s="85">
        <f t="shared" si="0"/>
        <v>461000000</v>
      </c>
    </row>
    <row r="10" spans="1:9">
      <c r="A10" s="82">
        <v>5</v>
      </c>
      <c r="B10" s="83" t="s">
        <v>299</v>
      </c>
      <c r="C10" s="84">
        <v>439</v>
      </c>
      <c r="D10" s="84">
        <v>4</v>
      </c>
      <c r="E10" s="84">
        <v>16</v>
      </c>
      <c r="F10" s="84">
        <v>142</v>
      </c>
      <c r="G10" s="84">
        <v>21.4</v>
      </c>
      <c r="I10" s="85">
        <f t="shared" si="0"/>
        <v>439000000</v>
      </c>
    </row>
    <row r="11" spans="1:9">
      <c r="A11" s="82">
        <v>6</v>
      </c>
      <c r="B11" s="83" t="s">
        <v>312</v>
      </c>
      <c r="C11" s="84">
        <v>429</v>
      </c>
      <c r="D11" s="84">
        <v>7</v>
      </c>
      <c r="E11" s="84">
        <v>0</v>
      </c>
      <c r="F11" s="84">
        <v>138</v>
      </c>
      <c r="G11" s="84">
        <v>21.8</v>
      </c>
      <c r="I11" s="85">
        <f t="shared" si="0"/>
        <v>429000000</v>
      </c>
    </row>
    <row r="12" spans="1:9">
      <c r="A12" s="82">
        <v>7</v>
      </c>
      <c r="B12" s="83" t="s">
        <v>304</v>
      </c>
      <c r="C12" s="84">
        <v>410</v>
      </c>
      <c r="D12" s="84">
        <v>4</v>
      </c>
      <c r="E12" s="84">
        <v>65</v>
      </c>
      <c r="F12" s="84">
        <v>132</v>
      </c>
      <c r="G12" s="84">
        <v>34.5</v>
      </c>
      <c r="I12" s="85">
        <f t="shared" si="0"/>
        <v>410000000</v>
      </c>
    </row>
    <row r="13" spans="1:9">
      <c r="A13" s="82">
        <v>8</v>
      </c>
      <c r="B13" s="83" t="s">
        <v>301</v>
      </c>
      <c r="C13" s="84">
        <v>409</v>
      </c>
      <c r="D13" s="84">
        <v>13</v>
      </c>
      <c r="E13" s="84">
        <v>44</v>
      </c>
      <c r="F13" s="84">
        <v>132</v>
      </c>
      <c r="G13" s="84">
        <v>20.5</v>
      </c>
      <c r="I13" s="85">
        <f t="shared" si="0"/>
        <v>409000000</v>
      </c>
    </row>
    <row r="14" spans="1:9">
      <c r="A14" s="82">
        <v>9</v>
      </c>
      <c r="B14" s="83" t="s">
        <v>302</v>
      </c>
      <c r="C14" s="84">
        <v>390</v>
      </c>
      <c r="D14" s="84">
        <v>11</v>
      </c>
      <c r="E14" s="84">
        <v>15</v>
      </c>
      <c r="F14" s="84">
        <v>122</v>
      </c>
      <c r="G14" s="84">
        <v>11.7</v>
      </c>
      <c r="I14" s="85">
        <f t="shared" si="0"/>
        <v>390000000</v>
      </c>
    </row>
    <row r="15" spans="1:9">
      <c r="A15" s="82">
        <v>10</v>
      </c>
      <c r="B15" s="83" t="s">
        <v>303</v>
      </c>
      <c r="C15" s="84">
        <v>380</v>
      </c>
      <c r="D15" s="84">
        <v>7</v>
      </c>
      <c r="E15" s="84">
        <v>53</v>
      </c>
      <c r="F15" s="84">
        <v>115</v>
      </c>
      <c r="G15" s="84">
        <v>23.9</v>
      </c>
      <c r="I15" s="85">
        <f t="shared" si="0"/>
        <v>380000000</v>
      </c>
    </row>
    <row r="16" spans="1:9">
      <c r="A16" s="82">
        <v>11</v>
      </c>
      <c r="B16" s="83" t="s">
        <v>308</v>
      </c>
      <c r="C16" s="84">
        <v>379</v>
      </c>
      <c r="D16" s="84">
        <v>10</v>
      </c>
      <c r="E16" s="84">
        <v>22</v>
      </c>
      <c r="F16" s="84">
        <v>126</v>
      </c>
      <c r="G16" s="84">
        <v>16.399999999999999</v>
      </c>
      <c r="I16" s="85">
        <f t="shared" si="0"/>
        <v>379000000</v>
      </c>
    </row>
    <row r="17" spans="1:9">
      <c r="A17" s="82">
        <v>12</v>
      </c>
      <c r="B17" s="83" t="s">
        <v>319</v>
      </c>
      <c r="C17" s="84">
        <v>375</v>
      </c>
      <c r="D17" s="84">
        <v>7</v>
      </c>
      <c r="E17" s="84">
        <v>25</v>
      </c>
      <c r="F17" s="84">
        <v>110</v>
      </c>
      <c r="G17" s="84">
        <v>-6.2</v>
      </c>
      <c r="I17" s="85">
        <f t="shared" si="0"/>
        <v>375000000</v>
      </c>
    </row>
    <row r="18" spans="1:9">
      <c r="A18" s="82">
        <v>13</v>
      </c>
      <c r="B18" s="83" t="s">
        <v>294</v>
      </c>
      <c r="C18" s="84">
        <v>367</v>
      </c>
      <c r="D18" s="84">
        <v>4</v>
      </c>
      <c r="E18" s="84">
        <v>49</v>
      </c>
      <c r="F18" s="84">
        <v>111</v>
      </c>
      <c r="G18" s="84">
        <v>15.7</v>
      </c>
      <c r="I18" s="85">
        <f t="shared" si="0"/>
        <v>367000000</v>
      </c>
    </row>
    <row r="19" spans="1:9">
      <c r="A19" s="82">
        <v>14</v>
      </c>
      <c r="B19" s="83" t="s">
        <v>313</v>
      </c>
      <c r="C19" s="84">
        <v>340</v>
      </c>
      <c r="D19" s="84">
        <v>5</v>
      </c>
      <c r="E19" s="84">
        <v>14</v>
      </c>
      <c r="F19" s="84">
        <v>110</v>
      </c>
      <c r="G19" s="84">
        <v>-12.5</v>
      </c>
      <c r="I19" s="85">
        <f t="shared" si="0"/>
        <v>340000000</v>
      </c>
    </row>
    <row r="20" spans="1:9">
      <c r="A20" s="82">
        <v>15</v>
      </c>
      <c r="B20" s="83" t="s">
        <v>307</v>
      </c>
      <c r="C20" s="84">
        <v>334</v>
      </c>
      <c r="D20" s="84">
        <v>5</v>
      </c>
      <c r="E20" s="84">
        <v>50</v>
      </c>
      <c r="F20" s="84">
        <v>108</v>
      </c>
      <c r="G20" s="84">
        <v>14.8</v>
      </c>
      <c r="I20" s="85">
        <f t="shared" si="0"/>
        <v>334000000</v>
      </c>
    </row>
    <row r="21" spans="1:9">
      <c r="A21" s="82">
        <v>16</v>
      </c>
      <c r="B21" s="83" t="s">
        <v>480</v>
      </c>
      <c r="C21" s="84">
        <v>325</v>
      </c>
      <c r="D21" s="84">
        <v>20</v>
      </c>
      <c r="E21" s="84">
        <v>65</v>
      </c>
      <c r="F21" s="84">
        <v>93</v>
      </c>
      <c r="G21" s="84">
        <v>-8</v>
      </c>
      <c r="I21" s="85">
        <f t="shared" si="0"/>
        <v>325000000</v>
      </c>
    </row>
    <row r="22" spans="1:9">
      <c r="A22" s="82">
        <v>17</v>
      </c>
      <c r="B22" s="83" t="s">
        <v>305</v>
      </c>
      <c r="C22" s="84">
        <v>315</v>
      </c>
      <c r="D22" s="84">
        <v>13</v>
      </c>
      <c r="E22" s="84">
        <v>55</v>
      </c>
      <c r="F22" s="84">
        <v>105</v>
      </c>
      <c r="G22" s="84">
        <v>8.4</v>
      </c>
      <c r="I22" s="85">
        <f t="shared" si="0"/>
        <v>315000000</v>
      </c>
    </row>
    <row r="23" spans="1:9">
      <c r="A23" s="82">
        <v>18</v>
      </c>
      <c r="B23" s="83" t="s">
        <v>315</v>
      </c>
      <c r="C23" s="84">
        <v>313</v>
      </c>
      <c r="D23" s="84">
        <v>7</v>
      </c>
      <c r="E23" s="84">
        <v>48</v>
      </c>
      <c r="F23" s="84">
        <v>101</v>
      </c>
      <c r="G23" s="84">
        <v>-18.5</v>
      </c>
      <c r="I23" s="85">
        <f t="shared" si="0"/>
        <v>313000000</v>
      </c>
    </row>
    <row r="24" spans="1:9">
      <c r="A24" s="82">
        <v>19</v>
      </c>
      <c r="B24" s="83" t="s">
        <v>311</v>
      </c>
      <c r="C24" s="84">
        <v>309</v>
      </c>
      <c r="D24" s="84">
        <v>9</v>
      </c>
      <c r="E24" s="84">
        <v>18</v>
      </c>
      <c r="F24" s="84">
        <v>100</v>
      </c>
      <c r="G24" s="84">
        <v>9.4</v>
      </c>
      <c r="I24" s="85">
        <f t="shared" si="0"/>
        <v>309000000</v>
      </c>
    </row>
    <row r="25" spans="1:9">
      <c r="A25" s="82">
        <v>20</v>
      </c>
      <c r="B25" s="83" t="s">
        <v>318</v>
      </c>
      <c r="C25" s="84">
        <v>308</v>
      </c>
      <c r="D25" s="84">
        <v>2</v>
      </c>
      <c r="E25" s="84">
        <v>16</v>
      </c>
      <c r="F25" s="84">
        <v>103</v>
      </c>
      <c r="G25" s="84">
        <v>4.5999999999999996</v>
      </c>
      <c r="I25" s="85">
        <f t="shared" si="0"/>
        <v>308000000</v>
      </c>
    </row>
    <row r="26" spans="1:9">
      <c r="A26" s="82">
        <v>21</v>
      </c>
      <c r="B26" s="83" t="s">
        <v>310</v>
      </c>
      <c r="C26" s="84">
        <v>297</v>
      </c>
      <c r="D26" s="84">
        <v>8</v>
      </c>
      <c r="E26" s="84">
        <v>7</v>
      </c>
      <c r="F26" s="84">
        <v>96</v>
      </c>
      <c r="G26" s="84">
        <v>1.4</v>
      </c>
      <c r="I26" s="85">
        <f t="shared" si="0"/>
        <v>297000000</v>
      </c>
    </row>
    <row r="27" spans="1:9">
      <c r="A27" s="82">
        <v>22</v>
      </c>
      <c r="B27" s="83" t="s">
        <v>295</v>
      </c>
      <c r="C27" s="84">
        <v>285</v>
      </c>
      <c r="D27" s="84">
        <v>15</v>
      </c>
      <c r="E27" s="84">
        <v>0</v>
      </c>
      <c r="F27" s="84">
        <v>95</v>
      </c>
      <c r="G27" s="84">
        <v>15.7</v>
      </c>
      <c r="I27" s="85">
        <f t="shared" si="0"/>
        <v>285000000</v>
      </c>
    </row>
    <row r="28" spans="1:9">
      <c r="A28" s="82">
        <v>23</v>
      </c>
      <c r="B28" s="83" t="s">
        <v>309</v>
      </c>
      <c r="C28" s="84">
        <v>283</v>
      </c>
      <c r="D28" s="84">
        <v>15</v>
      </c>
      <c r="E28" s="84">
        <v>21</v>
      </c>
      <c r="F28" s="84">
        <v>89</v>
      </c>
      <c r="G28" s="84">
        <v>-20.399999999999999</v>
      </c>
      <c r="I28" s="85">
        <f t="shared" si="0"/>
        <v>283000000</v>
      </c>
    </row>
    <row r="29" spans="1:9">
      <c r="A29" s="82">
        <v>24</v>
      </c>
      <c r="B29" s="83" t="s">
        <v>467</v>
      </c>
      <c r="C29" s="84">
        <v>277</v>
      </c>
      <c r="D29" s="84">
        <v>-8</v>
      </c>
      <c r="E29" s="84">
        <v>54</v>
      </c>
      <c r="F29" s="84">
        <v>89</v>
      </c>
      <c r="G29" s="84">
        <v>11.9</v>
      </c>
      <c r="I29" s="85">
        <f t="shared" si="0"/>
        <v>277000000</v>
      </c>
    </row>
    <row r="30" spans="1:9">
      <c r="A30" s="82">
        <v>25</v>
      </c>
      <c r="B30" s="83" t="s">
        <v>314</v>
      </c>
      <c r="C30" s="84">
        <v>275</v>
      </c>
      <c r="D30" s="84">
        <v>5</v>
      </c>
      <c r="E30" s="84">
        <v>26</v>
      </c>
      <c r="F30" s="84">
        <v>92</v>
      </c>
      <c r="G30" s="84">
        <v>12.9</v>
      </c>
      <c r="I30" s="85">
        <f t="shared" si="0"/>
        <v>275000000</v>
      </c>
    </row>
    <row r="31" spans="1:9">
      <c r="A31" s="82">
        <v>26</v>
      </c>
      <c r="B31" s="83" t="s">
        <v>671</v>
      </c>
      <c r="C31" s="84">
        <v>268</v>
      </c>
      <c r="D31" s="84">
        <v>15</v>
      </c>
      <c r="E31" s="84">
        <v>52</v>
      </c>
      <c r="F31" s="84">
        <v>81</v>
      </c>
      <c r="G31" s="84">
        <v>3.6</v>
      </c>
      <c r="I31" s="85">
        <f t="shared" si="0"/>
        <v>268000000</v>
      </c>
    </row>
    <row r="32" spans="1:9">
      <c r="A32" s="82">
        <v>27</v>
      </c>
      <c r="B32" s="83" t="s">
        <v>296</v>
      </c>
      <c r="C32" s="84">
        <v>267</v>
      </c>
      <c r="D32" s="84">
        <v>10</v>
      </c>
      <c r="E32" s="84">
        <v>28</v>
      </c>
      <c r="F32" s="84">
        <v>89</v>
      </c>
      <c r="G32" s="84">
        <v>6.3</v>
      </c>
      <c r="I32" s="85">
        <f t="shared" si="0"/>
        <v>267000000</v>
      </c>
    </row>
    <row r="33" spans="1:9">
      <c r="A33" s="82">
        <v>28</v>
      </c>
      <c r="B33" s="83" t="s">
        <v>320</v>
      </c>
      <c r="C33" s="84">
        <v>260</v>
      </c>
      <c r="D33" s="84">
        <v>13</v>
      </c>
      <c r="E33" s="84">
        <v>21</v>
      </c>
      <c r="F33" s="84">
        <v>87</v>
      </c>
      <c r="G33" s="84">
        <v>1.5</v>
      </c>
      <c r="I33" s="85">
        <f t="shared" si="0"/>
        <v>260000000</v>
      </c>
    </row>
    <row r="34" spans="1:9">
      <c r="A34" s="82">
        <v>29</v>
      </c>
      <c r="B34" s="83" t="s">
        <v>322</v>
      </c>
      <c r="C34" s="84">
        <v>248</v>
      </c>
      <c r="D34" s="84">
        <v>10</v>
      </c>
      <c r="E34" s="84">
        <v>60</v>
      </c>
      <c r="F34" s="84">
        <v>83</v>
      </c>
      <c r="G34" s="84">
        <v>12.9</v>
      </c>
      <c r="I34" s="85">
        <f t="shared" si="0"/>
        <v>248000000</v>
      </c>
    </row>
    <row r="35" spans="1:9">
      <c r="A35" s="82">
        <v>30</v>
      </c>
      <c r="B35" s="83" t="s">
        <v>306</v>
      </c>
      <c r="C35" s="84">
        <v>230</v>
      </c>
      <c r="D35" s="84">
        <v>1</v>
      </c>
      <c r="E35" s="84">
        <v>26</v>
      </c>
      <c r="F35" s="84">
        <v>77</v>
      </c>
      <c r="G35" s="84">
        <v>-15.2</v>
      </c>
      <c r="I35" s="85">
        <f t="shared" si="0"/>
        <v>230000000</v>
      </c>
    </row>
    <row r="36" spans="1:9">
      <c r="F36" s="79">
        <f>SUM(F6:F35)</f>
        <v>3367</v>
      </c>
    </row>
    <row r="37" spans="1:9">
      <c r="A37" s="86" t="s">
        <v>678</v>
      </c>
    </row>
    <row r="38" spans="1:9" ht="16.2">
      <c r="A38" s="87" t="s">
        <v>662</v>
      </c>
    </row>
    <row r="39" spans="1:9" ht="16.2">
      <c r="A39" s="87" t="s">
        <v>663</v>
      </c>
    </row>
    <row r="40" spans="1:9" ht="16.2">
      <c r="A40" s="87" t="s">
        <v>679</v>
      </c>
    </row>
    <row r="41" spans="1:9">
      <c r="A41" s="86" t="s">
        <v>665</v>
      </c>
    </row>
  </sheetData>
  <hyperlinks>
    <hyperlink ref="B5" r:id="rId1" display="http://www.forbes.com/lists/2006/32/biz_06nba_NBA-Team-Valuations_MetroArea.html"/>
    <hyperlink ref="C5" r:id="rId2" display="http://www.forbes.com/lists/2006/32/biz_06nba_NBA-Team-Valuations_Value.html"/>
    <hyperlink ref="D5" r:id="rId3" display="http://www.forbes.com/lists/2006/32/biz_06nba_NBA-Team-Valuations_YrChange.html"/>
    <hyperlink ref="E5" r:id="rId4" display="http://www.forbes.com/lists/2006/32/biz_06nba_NBA-Team-Valuations_DOV.html"/>
    <hyperlink ref="F5" r:id="rId5" display="http://www.forbes.com/lists/2006/32/biz_06nba_NBA-Team-Valuations_Revenue.html"/>
    <hyperlink ref="G5" r:id="rId6" display="http://www.forbes.com/lists/2006/32/biz_06nba_NBA-Team-Valuations_Income.html"/>
    <hyperlink ref="B6" r:id="rId7" display="http://www.forbes.com/lists/2006/32/biz_06nba_New-York-Knicks_328815.html"/>
    <hyperlink ref="B7" r:id="rId8" display="http://www.forbes.com/lists/2006/32/biz_06nba_Los-Angeles-Lakers_320250.html"/>
    <hyperlink ref="B8" r:id="rId9" display="http://www.forbes.com/lists/2006/32/biz_06nba_Dallas-Mavericks_324736.html"/>
    <hyperlink ref="B9" r:id="rId10" display="http://www.forbes.com/lists/2006/32/biz_06nba_Chicago-Bulls_321267.html"/>
    <hyperlink ref="B10" r:id="rId11" display="http://www.forbes.com/lists/2006/32/biz_06nba_Houston-Rockets_322525.html"/>
    <hyperlink ref="B11" r:id="rId12" display="http://www.forbes.com/lists/2006/32/biz_06nba_Detroit-Pistons_320844.html"/>
    <hyperlink ref="B12" r:id="rId13" display="http://www.forbes.com/lists/2006/32/biz_06nba_Phoenix-Suns_321064.html"/>
    <hyperlink ref="B13" r:id="rId14" display="http://www.forbes.com/lists/2006/32/biz_06nba_Miami-Heat_329036.html"/>
    <hyperlink ref="B14" r:id="rId15" display="http://www.forbes.com/lists/2006/32/biz_06nba_San-Antonio-Spurs_323002.html"/>
    <hyperlink ref="B15" r:id="rId16" display="http://www.forbes.com/lists/2006/32/biz_06nba_Cleveland-Cavaliers_324902.html"/>
    <hyperlink ref="B16" r:id="rId17" display="http://www.forbes.com/lists/2006/32/biz_06nba_Sacramento-Kings_327146.html"/>
    <hyperlink ref="B17" r:id="rId18" display="http://www.forbes.com/lists/2006/32/biz_06nba_Philadelphia-76ers_321387.html"/>
    <hyperlink ref="B18" r:id="rId19" display="http://www.forbes.com/lists/2006/32/biz_06nba_Boston-Celtics_326173.html"/>
    <hyperlink ref="B19" r:id="rId20" display="http://www.forbes.com/lists/2006/32/biz_06nba_Indiana-Pacers_322134.html"/>
    <hyperlink ref="B20" r:id="rId21" display="http://www.forbes.com/lists/2006/32/biz_06nba_Washington-Wizards_322873.html"/>
    <hyperlink ref="B21" r:id="rId22" display="http://www.forbes.com/lists/2006/32/biz_06nba_New-Jersey-Nets_323869.html"/>
    <hyperlink ref="B22" r:id="rId23" display="http://www.forbes.com/lists/2006/32/biz_06nba_Toronto-Raptors_321933.html"/>
    <hyperlink ref="B23" r:id="rId24" display="http://www.forbes.com/lists/2006/32/biz_06nba_Memphis-Grizzlies_325603.html"/>
    <hyperlink ref="B24" r:id="rId25" display="http://www.forbes.com/lists/2006/32/biz_06nba_Denver-Nuggets_324980.html"/>
    <hyperlink ref="B25" r:id="rId26" display="http://www.forbes.com/lists/2006/32/biz_06nba_Minnesota-Timberwolves_323346.html"/>
    <hyperlink ref="B26" r:id="rId27" display="http://www.forbes.com/lists/2006/32/biz_06nba_Utah-Jazz_322274.html"/>
    <hyperlink ref="B27" r:id="rId28" display="http://www.forbes.com/lists/2006/32/biz_06nba_Los-Angeles-Clippers_322952.html"/>
    <hyperlink ref="B28" r:id="rId29" display="http://www.forbes.com/lists/2006/32/biz_06nba_Orlando-Magic_324583.html"/>
    <hyperlink ref="B29" r:id="rId30" display="http://www.forbes.com/lists/2006/32/biz_06nba_Charlotte-Bobcats_322435.html"/>
    <hyperlink ref="B30" r:id="rId31" display="http://www.forbes.com/lists/2006/32/biz_06nba_Atlanta-Hawks_323662.html"/>
    <hyperlink ref="B31" r:id="rId32" display="http://www.forbes.com/lists/2006/32/biz_06nba_Seattle-SuperSonics_329710.html"/>
    <hyperlink ref="B32" r:id="rId33" display="http://www.forbes.com/lists/2006/32/biz_06nba_Golden-State-Warriors_324799.html"/>
    <hyperlink ref="B33" r:id="rId34" display="http://www.forbes.com/lists/2006/32/biz_06nba_Milwaukee-Bucks_325937.html"/>
    <hyperlink ref="B34" r:id="rId35" display="http://www.forbes.com/lists/2006/32/biz_06nba_New-Orleans-Hornets_328959.html"/>
    <hyperlink ref="B35" r:id="rId36" display="http://www.forbes.com/lists/2006/32/biz_06nba_Portland-Trail-Blazers_324837.html"/>
  </hyperlinks>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heetViews>
  <sheetFormatPr defaultColWidth="8.19921875" defaultRowHeight="14.4"/>
  <cols>
    <col min="1" max="1" width="8.19921875" style="63"/>
    <col min="2" max="2" width="21.296875" style="63" customWidth="1"/>
    <col min="3" max="3" width="18.796875" style="63" customWidth="1"/>
    <col min="4" max="4" width="19.5" style="63" customWidth="1"/>
    <col min="5" max="5" width="17.19921875" style="63" customWidth="1"/>
    <col min="6" max="6" width="16.796875" style="63" customWidth="1"/>
    <col min="7" max="7" width="21.69921875" style="63" customWidth="1"/>
    <col min="8" max="9" width="8.19921875" style="63"/>
    <col min="10" max="10" width="15" style="63" bestFit="1" customWidth="1"/>
    <col min="11" max="16384" width="8.19921875" style="63"/>
  </cols>
  <sheetData>
    <row r="1" spans="1:10" ht="18" customHeight="1">
      <c r="A1" s="88" t="s">
        <v>680</v>
      </c>
      <c r="B1" s="88"/>
      <c r="C1" s="88"/>
      <c r="D1" s="88"/>
      <c r="E1" s="88"/>
      <c r="F1" s="88"/>
      <c r="G1" s="88"/>
    </row>
    <row r="2" spans="1:10">
      <c r="A2" s="89"/>
      <c r="B2" s="89"/>
      <c r="C2" s="89"/>
      <c r="D2" s="89"/>
      <c r="E2" s="89"/>
      <c r="F2" s="89"/>
      <c r="G2" s="89"/>
    </row>
    <row r="3" spans="1:10">
      <c r="A3" s="90" t="s">
        <v>225</v>
      </c>
      <c r="B3" s="73" t="s">
        <v>325</v>
      </c>
      <c r="C3" s="73" t="s">
        <v>657</v>
      </c>
      <c r="D3" s="73" t="s">
        <v>463</v>
      </c>
      <c r="E3" s="73" t="s">
        <v>658</v>
      </c>
      <c r="F3" s="73" t="s">
        <v>681</v>
      </c>
      <c r="G3" s="73" t="s">
        <v>660</v>
      </c>
    </row>
    <row r="4" spans="1:10">
      <c r="A4" s="91">
        <v>1</v>
      </c>
      <c r="B4" s="75" t="s">
        <v>291</v>
      </c>
      <c r="C4" s="92">
        <v>543</v>
      </c>
      <c r="D4" s="92">
        <v>10</v>
      </c>
      <c r="E4" s="92">
        <v>46</v>
      </c>
      <c r="F4" s="92">
        <v>181</v>
      </c>
      <c r="G4" s="92">
        <v>25.2</v>
      </c>
      <c r="J4" s="67">
        <f>C4*1000000</f>
        <v>543000000</v>
      </c>
    </row>
    <row r="5" spans="1:10">
      <c r="A5" s="91">
        <v>2</v>
      </c>
      <c r="B5" s="75" t="s">
        <v>292</v>
      </c>
      <c r="C5" s="92">
        <v>529</v>
      </c>
      <c r="D5" s="92">
        <v>4</v>
      </c>
      <c r="E5" s="92">
        <v>10</v>
      </c>
      <c r="F5" s="92">
        <v>156</v>
      </c>
      <c r="G5" s="92">
        <v>38.200000000000003</v>
      </c>
      <c r="J5" s="67">
        <f t="shared" ref="J5:J32" si="0">C5*1000000</f>
        <v>529000000</v>
      </c>
    </row>
    <row r="6" spans="1:10">
      <c r="A6" s="91">
        <v>3</v>
      </c>
      <c r="B6" s="75" t="s">
        <v>299</v>
      </c>
      <c r="C6" s="92">
        <v>422</v>
      </c>
      <c r="D6" s="92">
        <v>14</v>
      </c>
      <c r="E6" s="92">
        <v>17</v>
      </c>
      <c r="F6" s="92">
        <v>141</v>
      </c>
      <c r="G6" s="92">
        <v>25.8</v>
      </c>
      <c r="J6" s="67">
        <f t="shared" si="0"/>
        <v>422000000</v>
      </c>
    </row>
    <row r="7" spans="1:10">
      <c r="A7" s="91">
        <v>4</v>
      </c>
      <c r="B7" s="75" t="s">
        <v>293</v>
      </c>
      <c r="C7" s="92">
        <v>409</v>
      </c>
      <c r="D7" s="92">
        <v>11</v>
      </c>
      <c r="E7" s="92">
        <v>13</v>
      </c>
      <c r="F7" s="92">
        <v>136</v>
      </c>
      <c r="G7" s="92">
        <v>34.700000000000003</v>
      </c>
      <c r="J7" s="67">
        <f t="shared" si="0"/>
        <v>409000000</v>
      </c>
    </row>
    <row r="8" spans="1:10">
      <c r="A8" s="91">
        <v>5</v>
      </c>
      <c r="B8" s="75" t="s">
        <v>300</v>
      </c>
      <c r="C8" s="92">
        <v>403</v>
      </c>
      <c r="D8" s="92">
        <v>8</v>
      </c>
      <c r="E8" s="92">
        <v>36</v>
      </c>
      <c r="F8" s="92">
        <v>124</v>
      </c>
      <c r="G8" s="92">
        <v>-17.8</v>
      </c>
      <c r="J8" s="67">
        <f t="shared" si="0"/>
        <v>403000000</v>
      </c>
    </row>
    <row r="9" spans="1:10">
      <c r="A9" s="91">
        <v>6</v>
      </c>
      <c r="B9" s="75" t="s">
        <v>312</v>
      </c>
      <c r="C9" s="92">
        <v>402</v>
      </c>
      <c r="D9" s="92">
        <v>11</v>
      </c>
      <c r="E9" s="92">
        <v>0</v>
      </c>
      <c r="F9" s="92">
        <v>134</v>
      </c>
      <c r="G9" s="92">
        <v>25</v>
      </c>
      <c r="J9" s="67">
        <f t="shared" si="0"/>
        <v>402000000</v>
      </c>
    </row>
    <row r="10" spans="1:10">
      <c r="A10" s="91">
        <v>7</v>
      </c>
      <c r="B10" s="75" t="s">
        <v>304</v>
      </c>
      <c r="C10" s="92">
        <v>395</v>
      </c>
      <c r="D10" s="92">
        <v>11</v>
      </c>
      <c r="E10" s="92">
        <v>51</v>
      </c>
      <c r="F10" s="92">
        <v>132</v>
      </c>
      <c r="G10" s="92">
        <v>40.4</v>
      </c>
      <c r="J10" s="67">
        <f t="shared" si="0"/>
        <v>395000000</v>
      </c>
    </row>
    <row r="11" spans="1:10">
      <c r="A11" s="91">
        <v>8</v>
      </c>
      <c r="B11" s="75" t="s">
        <v>301</v>
      </c>
      <c r="C11" s="92">
        <v>362</v>
      </c>
      <c r="D11" s="92">
        <v>30</v>
      </c>
      <c r="E11" s="92">
        <v>51</v>
      </c>
      <c r="F11" s="92">
        <v>119</v>
      </c>
      <c r="G11" s="92">
        <v>11.5</v>
      </c>
      <c r="J11" s="67">
        <f t="shared" si="0"/>
        <v>362000000</v>
      </c>
    </row>
    <row r="12" spans="1:10">
      <c r="A12" s="91">
        <v>9</v>
      </c>
      <c r="B12" s="75" t="s">
        <v>303</v>
      </c>
      <c r="C12" s="92">
        <v>356</v>
      </c>
      <c r="D12" s="92">
        <v>20</v>
      </c>
      <c r="E12" s="92">
        <v>28</v>
      </c>
      <c r="F12" s="92">
        <v>102</v>
      </c>
      <c r="G12" s="92">
        <v>16</v>
      </c>
      <c r="J12" s="67">
        <f t="shared" si="0"/>
        <v>356000000</v>
      </c>
    </row>
    <row r="13" spans="1:10">
      <c r="A13" s="91">
        <v>10</v>
      </c>
      <c r="B13" s="75" t="s">
        <v>294</v>
      </c>
      <c r="C13" s="92">
        <v>353</v>
      </c>
      <c r="D13" s="92">
        <v>5</v>
      </c>
      <c r="E13" s="92">
        <v>51</v>
      </c>
      <c r="F13" s="92">
        <v>110</v>
      </c>
      <c r="G13" s="92">
        <v>8.4</v>
      </c>
      <c r="J13" s="67">
        <f t="shared" si="0"/>
        <v>353000000</v>
      </c>
    </row>
    <row r="14" spans="1:10">
      <c r="A14" s="91">
        <v>11</v>
      </c>
      <c r="B14" s="75" t="s">
        <v>319</v>
      </c>
      <c r="C14" s="92">
        <v>351</v>
      </c>
      <c r="D14" s="92">
        <v>3</v>
      </c>
      <c r="E14" s="92">
        <v>27</v>
      </c>
      <c r="F14" s="92">
        <v>110</v>
      </c>
      <c r="G14" s="92">
        <v>0.7</v>
      </c>
      <c r="J14" s="67">
        <f t="shared" si="0"/>
        <v>351000000</v>
      </c>
    </row>
    <row r="15" spans="1:10">
      <c r="A15" s="91">
        <v>12</v>
      </c>
      <c r="B15" s="75" t="s">
        <v>302</v>
      </c>
      <c r="C15" s="92">
        <v>350</v>
      </c>
      <c r="D15" s="92">
        <v>8</v>
      </c>
      <c r="E15" s="92">
        <v>37</v>
      </c>
      <c r="F15" s="92">
        <v>121</v>
      </c>
      <c r="G15" s="92">
        <v>23.7</v>
      </c>
      <c r="J15" s="67">
        <f t="shared" si="0"/>
        <v>350000000</v>
      </c>
    </row>
    <row r="16" spans="1:10">
      <c r="A16" s="91">
        <v>13</v>
      </c>
      <c r="B16" s="75" t="s">
        <v>308</v>
      </c>
      <c r="C16" s="92">
        <v>345</v>
      </c>
      <c r="D16" s="92">
        <v>5</v>
      </c>
      <c r="E16" s="92">
        <v>24</v>
      </c>
      <c r="F16" s="92">
        <v>119</v>
      </c>
      <c r="G16" s="92">
        <v>10</v>
      </c>
      <c r="J16" s="67">
        <f t="shared" si="0"/>
        <v>345000000</v>
      </c>
    </row>
    <row r="17" spans="1:10">
      <c r="A17" s="91">
        <v>14</v>
      </c>
      <c r="B17" s="75" t="s">
        <v>313</v>
      </c>
      <c r="C17" s="92">
        <v>324</v>
      </c>
      <c r="D17" s="92">
        <v>4</v>
      </c>
      <c r="E17" s="92">
        <v>15</v>
      </c>
      <c r="F17" s="92">
        <v>108</v>
      </c>
      <c r="G17" s="92">
        <v>8.5</v>
      </c>
      <c r="J17" s="67">
        <f t="shared" si="0"/>
        <v>324000000</v>
      </c>
    </row>
    <row r="18" spans="1:10">
      <c r="A18" s="91">
        <v>15</v>
      </c>
      <c r="B18" s="75" t="s">
        <v>307</v>
      </c>
      <c r="C18" s="92">
        <v>318</v>
      </c>
      <c r="D18" s="92">
        <v>16</v>
      </c>
      <c r="E18" s="92">
        <v>22</v>
      </c>
      <c r="F18" s="92">
        <v>106</v>
      </c>
      <c r="G18" s="92">
        <v>14.3</v>
      </c>
      <c r="J18" s="67">
        <f t="shared" si="0"/>
        <v>318000000</v>
      </c>
    </row>
    <row r="19" spans="1:10">
      <c r="A19" s="91">
        <v>16</v>
      </c>
      <c r="B19" s="75" t="s">
        <v>318</v>
      </c>
      <c r="C19" s="92">
        <v>303</v>
      </c>
      <c r="D19" s="92">
        <v>4</v>
      </c>
      <c r="E19" s="92">
        <v>17</v>
      </c>
      <c r="F19" s="92">
        <v>101</v>
      </c>
      <c r="G19" s="92">
        <v>-5</v>
      </c>
      <c r="J19" s="67">
        <f t="shared" si="0"/>
        <v>303000000</v>
      </c>
    </row>
    <row r="20" spans="1:10">
      <c r="A20" s="91">
        <v>17</v>
      </c>
      <c r="B20" s="75" t="s">
        <v>467</v>
      </c>
      <c r="C20" s="92">
        <v>300</v>
      </c>
      <c r="D20" s="92" t="s">
        <v>682</v>
      </c>
      <c r="E20" s="92">
        <v>50</v>
      </c>
      <c r="F20" s="92">
        <v>73</v>
      </c>
      <c r="G20" s="92">
        <v>9.8000000000000007</v>
      </c>
      <c r="J20" s="67">
        <f t="shared" si="0"/>
        <v>300000000</v>
      </c>
    </row>
    <row r="21" spans="1:10">
      <c r="A21" s="91">
        <v>18</v>
      </c>
      <c r="B21" s="75" t="s">
        <v>315</v>
      </c>
      <c r="C21" s="92">
        <v>294</v>
      </c>
      <c r="D21" s="92">
        <v>23</v>
      </c>
      <c r="E21" s="92">
        <v>30</v>
      </c>
      <c r="F21" s="92">
        <v>98</v>
      </c>
      <c r="G21" s="92">
        <v>-15.6</v>
      </c>
      <c r="J21" s="67">
        <f t="shared" si="0"/>
        <v>294000000</v>
      </c>
    </row>
    <row r="22" spans="1:10">
      <c r="A22" s="91">
        <v>19</v>
      </c>
      <c r="B22" s="75" t="s">
        <v>311</v>
      </c>
      <c r="C22" s="92">
        <v>283</v>
      </c>
      <c r="D22" s="92">
        <v>6</v>
      </c>
      <c r="E22" s="92">
        <v>18</v>
      </c>
      <c r="F22" s="92">
        <v>94</v>
      </c>
      <c r="G22" s="92">
        <v>12.3</v>
      </c>
      <c r="J22" s="67">
        <f t="shared" si="0"/>
        <v>283000000</v>
      </c>
    </row>
    <row r="23" spans="1:10">
      <c r="A23" s="91">
        <v>20</v>
      </c>
      <c r="B23" s="75" t="s">
        <v>305</v>
      </c>
      <c r="C23" s="92">
        <v>278</v>
      </c>
      <c r="D23" s="92">
        <v>-6</v>
      </c>
      <c r="E23" s="92">
        <v>40</v>
      </c>
      <c r="F23" s="92">
        <v>94</v>
      </c>
      <c r="G23" s="92">
        <v>-1.3</v>
      </c>
      <c r="J23" s="67">
        <f t="shared" si="0"/>
        <v>278000000</v>
      </c>
    </row>
    <row r="24" spans="1:10">
      <c r="A24" s="91">
        <v>21</v>
      </c>
      <c r="B24" s="75" t="s">
        <v>310</v>
      </c>
      <c r="C24" s="92">
        <v>274</v>
      </c>
      <c r="D24" s="92">
        <v>7</v>
      </c>
      <c r="E24" s="92">
        <v>9</v>
      </c>
      <c r="F24" s="92">
        <v>91</v>
      </c>
      <c r="G24" s="92">
        <v>9.4</v>
      </c>
      <c r="J24" s="67">
        <f t="shared" si="0"/>
        <v>274000000</v>
      </c>
    </row>
    <row r="25" spans="1:10">
      <c r="A25" s="91">
        <v>22</v>
      </c>
      <c r="B25" s="75" t="s">
        <v>480</v>
      </c>
      <c r="C25" s="92">
        <v>271</v>
      </c>
      <c r="D25" s="92">
        <v>-9</v>
      </c>
      <c r="E25" s="92">
        <v>78</v>
      </c>
      <c r="F25" s="92">
        <v>87</v>
      </c>
      <c r="G25" s="92">
        <v>-6.1</v>
      </c>
      <c r="J25" s="67">
        <f t="shared" si="0"/>
        <v>271000000</v>
      </c>
    </row>
    <row r="26" spans="1:10">
      <c r="A26" s="91">
        <v>23</v>
      </c>
      <c r="B26" s="75" t="s">
        <v>314</v>
      </c>
      <c r="C26" s="92">
        <v>262</v>
      </c>
      <c r="D26" s="92">
        <v>13</v>
      </c>
      <c r="E26" s="92">
        <v>27</v>
      </c>
      <c r="F26" s="92">
        <v>87</v>
      </c>
      <c r="G26" s="92">
        <v>8.9</v>
      </c>
      <c r="J26" s="67">
        <f t="shared" si="0"/>
        <v>262000000</v>
      </c>
    </row>
    <row r="27" spans="1:10">
      <c r="A27" s="91">
        <v>24</v>
      </c>
      <c r="B27" s="75" t="s">
        <v>295</v>
      </c>
      <c r="C27" s="92">
        <v>248</v>
      </c>
      <c r="D27" s="92">
        <v>11</v>
      </c>
      <c r="E27" s="92">
        <v>0</v>
      </c>
      <c r="F27" s="92">
        <v>83</v>
      </c>
      <c r="G27" s="92">
        <v>14.6</v>
      </c>
      <c r="J27" s="67">
        <f t="shared" si="0"/>
        <v>248000000</v>
      </c>
    </row>
    <row r="28" spans="1:10">
      <c r="A28" s="91">
        <v>25</v>
      </c>
      <c r="B28" s="75" t="s">
        <v>309</v>
      </c>
      <c r="C28" s="92">
        <v>247</v>
      </c>
      <c r="D28" s="92">
        <v>13</v>
      </c>
      <c r="E28" s="92">
        <v>24</v>
      </c>
      <c r="F28" s="92">
        <v>82</v>
      </c>
      <c r="G28" s="92">
        <v>-9.5</v>
      </c>
      <c r="J28" s="67">
        <f t="shared" si="0"/>
        <v>247000000</v>
      </c>
    </row>
    <row r="29" spans="1:10">
      <c r="A29" s="91">
        <v>26</v>
      </c>
      <c r="B29" s="75" t="s">
        <v>296</v>
      </c>
      <c r="C29" s="92">
        <v>243</v>
      </c>
      <c r="D29" s="92">
        <v>7</v>
      </c>
      <c r="E29" s="92">
        <v>31</v>
      </c>
      <c r="F29" s="92">
        <v>81</v>
      </c>
      <c r="G29" s="92">
        <v>-3.1</v>
      </c>
      <c r="J29" s="67">
        <f t="shared" si="0"/>
        <v>243000000</v>
      </c>
    </row>
    <row r="30" spans="1:10">
      <c r="A30" s="91">
        <v>27</v>
      </c>
      <c r="B30" s="75" t="s">
        <v>671</v>
      </c>
      <c r="C30" s="92">
        <v>234</v>
      </c>
      <c r="D30" s="92">
        <v>14</v>
      </c>
      <c r="E30" s="92">
        <v>38</v>
      </c>
      <c r="F30" s="92">
        <v>81</v>
      </c>
      <c r="G30" s="92">
        <v>-7.8</v>
      </c>
      <c r="J30" s="67">
        <f t="shared" si="0"/>
        <v>234000000</v>
      </c>
    </row>
    <row r="31" spans="1:10">
      <c r="A31" s="91">
        <v>28</v>
      </c>
      <c r="B31" s="75" t="s">
        <v>320</v>
      </c>
      <c r="C31" s="92">
        <v>231</v>
      </c>
      <c r="D31" s="92">
        <v>16</v>
      </c>
      <c r="E31" s="92">
        <v>22</v>
      </c>
      <c r="F31" s="92">
        <v>78</v>
      </c>
      <c r="G31" s="92">
        <v>-1.5</v>
      </c>
      <c r="J31" s="67">
        <f t="shared" si="0"/>
        <v>231000000</v>
      </c>
    </row>
    <row r="32" spans="1:10">
      <c r="A32" s="91">
        <v>29</v>
      </c>
      <c r="B32" s="75" t="s">
        <v>306</v>
      </c>
      <c r="C32" s="92">
        <v>227</v>
      </c>
      <c r="D32" s="92">
        <v>-8</v>
      </c>
      <c r="E32" s="92">
        <v>25</v>
      </c>
      <c r="F32" s="92">
        <v>78</v>
      </c>
      <c r="G32" s="92">
        <v>-31.5</v>
      </c>
      <c r="J32" s="67">
        <f t="shared" si="0"/>
        <v>227000000</v>
      </c>
    </row>
    <row r="33" spans="1:10">
      <c r="A33" s="91">
        <v>30</v>
      </c>
      <c r="B33" s="75" t="s">
        <v>322</v>
      </c>
      <c r="C33" s="92">
        <v>225</v>
      </c>
      <c r="D33" s="92">
        <v>0</v>
      </c>
      <c r="E33" s="92">
        <v>67</v>
      </c>
      <c r="F33" s="92">
        <v>78</v>
      </c>
      <c r="G33" s="92">
        <v>-3.9</v>
      </c>
      <c r="J33" s="67">
        <f>C33*1000000</f>
        <v>225000000</v>
      </c>
    </row>
    <row r="34" spans="1:10">
      <c r="A34" s="89"/>
      <c r="B34" s="89"/>
      <c r="C34" s="89"/>
      <c r="D34" s="89"/>
      <c r="E34" s="89"/>
      <c r="F34" s="89"/>
      <c r="G34" s="89"/>
    </row>
    <row r="35" spans="1:10">
      <c r="A35" s="63" t="s">
        <v>683</v>
      </c>
      <c r="B35" s="89"/>
      <c r="C35" s="89"/>
      <c r="D35" s="89"/>
      <c r="E35" s="89"/>
      <c r="F35" s="89"/>
      <c r="G35" s="89"/>
    </row>
    <row r="36" spans="1:10" ht="16.2">
      <c r="A36" s="93" t="s">
        <v>684</v>
      </c>
    </row>
    <row r="37" spans="1:10" ht="16.2">
      <c r="A37" s="93" t="s">
        <v>685</v>
      </c>
    </row>
    <row r="38" spans="1:10" ht="16.2">
      <c r="A38" s="93" t="s">
        <v>686</v>
      </c>
    </row>
    <row r="39" spans="1:10" ht="16.2">
      <c r="A39" s="93" t="s">
        <v>687</v>
      </c>
    </row>
    <row r="40" spans="1:10" ht="16.2">
      <c r="A40" s="93" t="s">
        <v>688</v>
      </c>
    </row>
    <row r="41" spans="1:10" ht="16.2">
      <c r="A41" s="93" t="s">
        <v>689</v>
      </c>
    </row>
    <row r="42" spans="1:10" ht="16.2">
      <c r="A42" s="93" t="s">
        <v>690</v>
      </c>
    </row>
    <row r="43" spans="1:10" ht="16.2">
      <c r="A43" s="93" t="s">
        <v>691</v>
      </c>
    </row>
  </sheetData>
  <hyperlinks>
    <hyperlink ref="B3" r:id="rId1" display="http://www.forbes.com/lists/2005/32/Team_1.html"/>
    <hyperlink ref="C3" r:id="rId2" display="http://www.forbes.com/lists/2005/32/Value_1.html"/>
    <hyperlink ref="D3" r:id="rId3" display="http://www.forbes.com/lists/2005/32/Change_1.html"/>
    <hyperlink ref="E3" r:id="rId4" display="http://www.forbes.com/lists/2005/32/Debt_1.html"/>
    <hyperlink ref="F3" r:id="rId5" display="http://www.forbes.com/lists/2005/32/Revenues_1.html"/>
    <hyperlink ref="G3" r:id="rId6" display="http://www.forbes.com/lists/2005/32/Income_1.html"/>
    <hyperlink ref="B4" r:id="rId7" display="http://www.forbes.com/lists/2005/32/328815.html"/>
    <hyperlink ref="B5" r:id="rId8" display="http://www.forbes.com/lists/2005/32/320250.html"/>
    <hyperlink ref="B6" r:id="rId9" display="http://www.forbes.com/lists/2005/32/322525.html"/>
    <hyperlink ref="B7" r:id="rId10" display="http://www.forbes.com/lists/2005/32/321267.html"/>
    <hyperlink ref="B8" r:id="rId11" display="http://www.forbes.com/lists/2005/32/324736.html"/>
    <hyperlink ref="B9" r:id="rId12" display="http://www.forbes.com/lists/2005/32/320844.html"/>
    <hyperlink ref="B10" r:id="rId13" display="http://www.forbes.com/lists/2005/32/321064.html"/>
    <hyperlink ref="B11" r:id="rId14" display="http://www.forbes.com/lists/2005/32/329036.html"/>
    <hyperlink ref="B12" r:id="rId15" display="http://www.forbes.com/lists/2005/32/324902.html"/>
    <hyperlink ref="B13" r:id="rId16" display="http://www.forbes.com/lists/2005/32/326173.html"/>
    <hyperlink ref="B14" r:id="rId17" display="http://www.forbes.com/lists/2005/32/321387.html"/>
    <hyperlink ref="B15" r:id="rId18" display="http://www.forbes.com/lists/2005/32/323002.html"/>
    <hyperlink ref="B16" r:id="rId19" display="http://www.forbes.com/lists/2005/32/327146.html"/>
    <hyperlink ref="B17" r:id="rId20" display="http://www.forbes.com/lists/2005/32/322134.html"/>
    <hyperlink ref="B18" r:id="rId21" display="http://www.forbes.com/lists/2005/32/322873.html"/>
    <hyperlink ref="B19" r:id="rId22" display="http://www.forbes.com/lists/2005/32/323346.html"/>
    <hyperlink ref="B20" r:id="rId23" display="http://www.forbes.com/lists/2005/32/322435.html"/>
    <hyperlink ref="B21" r:id="rId24" display="http://www.forbes.com/lists/2005/32/325603.html"/>
    <hyperlink ref="B22" r:id="rId25" display="http://www.forbes.com/lists/2005/32/324980.html"/>
    <hyperlink ref="B23" r:id="rId26" display="http://www.forbes.com/lists/2005/32/321933.html"/>
    <hyperlink ref="B24" r:id="rId27" display="http://www.forbes.com/lists/2005/32/322274.html"/>
    <hyperlink ref="B25" r:id="rId28" display="http://www.forbes.com/lists/2005/32/323869.html"/>
    <hyperlink ref="B26" r:id="rId29" display="http://www.forbes.com/lists/2005/32/323662.html"/>
    <hyperlink ref="B27" r:id="rId30" display="http://www.forbes.com/lists/2005/32/322952.html"/>
    <hyperlink ref="B28" r:id="rId31" display="http://www.forbes.com/lists/2005/32/324583.html"/>
    <hyperlink ref="B29" r:id="rId32" display="http://www.forbes.com/lists/2005/32/324799.html"/>
    <hyperlink ref="B30" r:id="rId33" display="http://www.forbes.com/lists/2005/32/329710.html"/>
    <hyperlink ref="B31" r:id="rId34" display="http://www.forbes.com/lists/2005/32/325937.html"/>
    <hyperlink ref="B32" r:id="rId35" display="http://www.forbes.com/lists/2005/32/324837.html"/>
    <hyperlink ref="B33" r:id="rId36" display="http://www.forbes.com/lists/2005/32/328959.html"/>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heetViews>
  <sheetFormatPr defaultColWidth="8.796875" defaultRowHeight="13.2"/>
  <cols>
    <col min="1" max="1" width="30" style="86" customWidth="1"/>
    <col min="2" max="2" width="12" style="86" customWidth="1"/>
    <col min="3" max="3" width="11" style="86" customWidth="1"/>
    <col min="4" max="4" width="11.796875" style="86" customWidth="1"/>
    <col min="5" max="16384" width="8.796875" style="86"/>
  </cols>
  <sheetData>
    <row r="1" spans="1:5" s="79" customFormat="1" ht="23.25" customHeight="1">
      <c r="A1" s="78" t="s">
        <v>1066</v>
      </c>
      <c r="B1" s="78"/>
      <c r="C1" s="78"/>
      <c r="D1" s="78"/>
      <c r="E1" s="78"/>
    </row>
    <row r="2" spans="1:5" s="79" customFormat="1" ht="12.75" customHeight="1">
      <c r="A2" s="78" t="s">
        <v>1067</v>
      </c>
      <c r="B2" s="78"/>
      <c r="C2" s="78"/>
      <c r="D2" s="78"/>
      <c r="E2" s="78"/>
    </row>
    <row r="3" spans="1:5" s="79" customFormat="1">
      <c r="A3" s="78"/>
      <c r="B3" s="78"/>
      <c r="C3" s="78"/>
      <c r="D3" s="78"/>
    </row>
    <row r="4" spans="1:5" s="79" customFormat="1">
      <c r="A4" s="82"/>
      <c r="B4" s="82" t="s">
        <v>1068</v>
      </c>
      <c r="C4" s="82"/>
      <c r="D4" s="82"/>
    </row>
    <row r="5" spans="1:5" s="79" customFormat="1">
      <c r="A5" s="178" t="s">
        <v>325</v>
      </c>
      <c r="B5" s="82" t="s">
        <v>1069</v>
      </c>
      <c r="C5" s="82" t="s">
        <v>1046</v>
      </c>
      <c r="D5" s="82" t="s">
        <v>1070</v>
      </c>
    </row>
    <row r="6" spans="1:5" s="79" customFormat="1">
      <c r="A6" s="178"/>
      <c r="B6" s="82" t="s">
        <v>1051</v>
      </c>
      <c r="C6" s="82" t="s">
        <v>1071</v>
      </c>
      <c r="D6" s="82" t="s">
        <v>1051</v>
      </c>
    </row>
    <row r="7" spans="1:5" s="79" customFormat="1"/>
    <row r="8" spans="1:5" s="79" customFormat="1">
      <c r="A8" s="79" t="s">
        <v>892</v>
      </c>
      <c r="B8" s="172">
        <v>426</v>
      </c>
      <c r="C8" s="173">
        <v>0.14000000000000001</v>
      </c>
      <c r="D8" s="174">
        <v>44.1</v>
      </c>
    </row>
    <row r="9" spans="1:5" s="79" customFormat="1">
      <c r="A9" s="79" t="s">
        <v>890</v>
      </c>
      <c r="B9" s="82">
        <v>398</v>
      </c>
      <c r="C9" s="82">
        <v>6</v>
      </c>
      <c r="D9" s="82">
        <v>25.1</v>
      </c>
    </row>
    <row r="10" spans="1:5" s="79" customFormat="1">
      <c r="A10" s="79" t="s">
        <v>891</v>
      </c>
      <c r="B10" s="82">
        <v>323</v>
      </c>
      <c r="C10" s="82">
        <v>23</v>
      </c>
      <c r="D10" s="82">
        <v>39.1</v>
      </c>
    </row>
    <row r="11" spans="1:5" s="79" customFormat="1">
      <c r="A11" s="79" t="s">
        <v>911</v>
      </c>
      <c r="B11" s="82">
        <v>304</v>
      </c>
      <c r="C11" s="82" t="s">
        <v>682</v>
      </c>
      <c r="D11" s="82">
        <v>3.2</v>
      </c>
    </row>
    <row r="12" spans="1:5" s="79" customFormat="1">
      <c r="A12" s="79" t="s">
        <v>895</v>
      </c>
      <c r="B12" s="82">
        <v>298</v>
      </c>
      <c r="C12" s="82">
        <v>16</v>
      </c>
      <c r="D12" s="82">
        <v>18.100000000000001</v>
      </c>
    </row>
    <row r="13" spans="1:5" s="79" customFormat="1">
      <c r="A13" s="79" t="s">
        <v>898</v>
      </c>
      <c r="B13" s="82">
        <v>278</v>
      </c>
      <c r="C13" s="82">
        <v>15</v>
      </c>
      <c r="D13" s="82">
        <v>12.7</v>
      </c>
    </row>
    <row r="14" spans="1:5" s="79" customFormat="1">
      <c r="A14" s="79" t="s">
        <v>899</v>
      </c>
      <c r="B14" s="82">
        <v>274</v>
      </c>
      <c r="C14" s="82" t="s">
        <v>682</v>
      </c>
      <c r="D14" s="82">
        <v>17.399999999999999</v>
      </c>
    </row>
    <row r="15" spans="1:5" s="79" customFormat="1">
      <c r="A15" s="79" t="s">
        <v>894</v>
      </c>
      <c r="B15" s="82">
        <v>272</v>
      </c>
      <c r="C15" s="82">
        <v>13</v>
      </c>
      <c r="D15" s="82">
        <v>18.5</v>
      </c>
    </row>
    <row r="16" spans="1:5" s="79" customFormat="1">
      <c r="A16" s="79" t="s">
        <v>893</v>
      </c>
      <c r="B16" s="82">
        <v>270</v>
      </c>
      <c r="C16" s="82">
        <v>10</v>
      </c>
      <c r="D16" s="82">
        <v>-22.8</v>
      </c>
    </row>
    <row r="17" spans="1:4" s="79" customFormat="1">
      <c r="A17" s="79" t="s">
        <v>908</v>
      </c>
      <c r="B17" s="82">
        <v>259</v>
      </c>
      <c r="C17" s="82">
        <v>14</v>
      </c>
      <c r="D17" s="82">
        <v>13.5</v>
      </c>
    </row>
    <row r="18" spans="1:4" s="79" customFormat="1">
      <c r="A18" s="79" t="s">
        <v>896</v>
      </c>
      <c r="B18" s="82">
        <v>258</v>
      </c>
      <c r="C18" s="82">
        <v>13</v>
      </c>
      <c r="D18" s="82">
        <v>12.9</v>
      </c>
    </row>
    <row r="19" spans="1:4" s="79" customFormat="1">
      <c r="A19" s="79" t="s">
        <v>904</v>
      </c>
      <c r="B19" s="82">
        <v>255</v>
      </c>
      <c r="C19" s="82">
        <v>13</v>
      </c>
      <c r="D19" s="82">
        <v>6.7</v>
      </c>
    </row>
    <row r="20" spans="1:4" s="79" customFormat="1">
      <c r="A20" s="79" t="s">
        <v>906</v>
      </c>
      <c r="B20" s="82">
        <v>250</v>
      </c>
      <c r="C20" s="82">
        <v>20</v>
      </c>
      <c r="D20" s="82">
        <v>8.1</v>
      </c>
    </row>
    <row r="21" spans="1:4" s="79" customFormat="1">
      <c r="A21" s="79" t="s">
        <v>901</v>
      </c>
      <c r="B21" s="82">
        <v>246</v>
      </c>
      <c r="C21" s="82">
        <v>18</v>
      </c>
      <c r="D21" s="82">
        <v>3.1</v>
      </c>
    </row>
    <row r="22" spans="1:4" s="79" customFormat="1">
      <c r="A22" s="79" t="s">
        <v>903</v>
      </c>
      <c r="B22" s="82">
        <v>242</v>
      </c>
      <c r="C22" s="82">
        <v>14</v>
      </c>
      <c r="D22" s="82">
        <v>8.3000000000000007</v>
      </c>
    </row>
    <row r="23" spans="1:4" s="79" customFormat="1">
      <c r="A23" s="79" t="s">
        <v>897</v>
      </c>
      <c r="B23" s="82">
        <v>226</v>
      </c>
      <c r="C23" s="82">
        <v>14</v>
      </c>
      <c r="D23" s="82">
        <v>1.9</v>
      </c>
    </row>
    <row r="24" spans="1:4" s="79" customFormat="1">
      <c r="A24" s="79" t="s">
        <v>902</v>
      </c>
      <c r="B24" s="82">
        <v>222</v>
      </c>
      <c r="C24" s="82">
        <v>14</v>
      </c>
      <c r="D24" s="82">
        <v>5.9</v>
      </c>
    </row>
    <row r="25" spans="1:4" s="79" customFormat="1">
      <c r="A25" s="79" t="s">
        <v>905</v>
      </c>
      <c r="B25" s="82">
        <v>218</v>
      </c>
      <c r="C25" s="82">
        <v>10</v>
      </c>
      <c r="D25" s="82">
        <v>4.5</v>
      </c>
    </row>
    <row r="26" spans="1:4" s="79" customFormat="1">
      <c r="A26" s="79" t="s">
        <v>913</v>
      </c>
      <c r="B26" s="82">
        <v>217</v>
      </c>
      <c r="C26" s="82">
        <v>15</v>
      </c>
      <c r="D26" s="82">
        <v>4.5</v>
      </c>
    </row>
    <row r="27" spans="1:4" s="79" customFormat="1">
      <c r="A27" s="79" t="s">
        <v>910</v>
      </c>
      <c r="B27" s="82">
        <v>213</v>
      </c>
      <c r="C27" s="82">
        <v>13</v>
      </c>
      <c r="D27" s="82">
        <v>8.8000000000000007</v>
      </c>
    </row>
    <row r="28" spans="1:4" s="79" customFormat="1">
      <c r="A28" s="79" t="s">
        <v>1072</v>
      </c>
      <c r="B28" s="82">
        <v>209</v>
      </c>
      <c r="C28" s="82" t="s">
        <v>682</v>
      </c>
      <c r="D28" s="82">
        <v>-5</v>
      </c>
    </row>
    <row r="29" spans="1:4" s="79" customFormat="1">
      <c r="A29" s="79" t="s">
        <v>900</v>
      </c>
      <c r="B29" s="82">
        <v>207</v>
      </c>
      <c r="C29" s="82" t="s">
        <v>682</v>
      </c>
      <c r="D29" s="82">
        <v>6.3</v>
      </c>
    </row>
    <row r="30" spans="1:4" s="79" customFormat="1">
      <c r="A30" s="79" t="s">
        <v>909</v>
      </c>
      <c r="B30" s="82">
        <v>206</v>
      </c>
      <c r="C30" s="82" t="s">
        <v>682</v>
      </c>
      <c r="D30" s="82">
        <v>4.2</v>
      </c>
    </row>
    <row r="31" spans="1:4" s="79" customFormat="1">
      <c r="A31" s="79" t="s">
        <v>918</v>
      </c>
      <c r="B31" s="82">
        <v>205</v>
      </c>
      <c r="C31" s="82">
        <v>14</v>
      </c>
      <c r="D31" s="82">
        <v>16.3</v>
      </c>
    </row>
    <row r="32" spans="1:4" s="79" customFormat="1">
      <c r="A32" s="79" t="s">
        <v>1073</v>
      </c>
      <c r="B32" s="82">
        <v>198</v>
      </c>
      <c r="C32" s="82" t="s">
        <v>682</v>
      </c>
      <c r="D32" s="82">
        <v>0.6</v>
      </c>
    </row>
    <row r="33" spans="1:4" s="79" customFormat="1">
      <c r="A33" s="79" t="s">
        <v>907</v>
      </c>
      <c r="B33" s="82">
        <v>197</v>
      </c>
      <c r="C33" s="82">
        <v>8</v>
      </c>
      <c r="D33" s="82">
        <v>8.1999999999999993</v>
      </c>
    </row>
    <row r="34" spans="1:4" s="79" customFormat="1">
      <c r="A34" s="79" t="s">
        <v>912</v>
      </c>
      <c r="B34" s="82">
        <v>176</v>
      </c>
      <c r="C34" s="82">
        <v>6</v>
      </c>
      <c r="D34" s="82">
        <v>-0.6</v>
      </c>
    </row>
    <row r="35" spans="1:4" s="79" customFormat="1">
      <c r="A35" s="79" t="s">
        <v>1074</v>
      </c>
      <c r="B35" s="82">
        <v>172</v>
      </c>
      <c r="C35" s="82">
        <v>13</v>
      </c>
      <c r="D35" s="82">
        <v>-8.3000000000000007</v>
      </c>
    </row>
    <row r="36" spans="1:4" s="79" customFormat="1">
      <c r="A36" s="79" t="s">
        <v>917</v>
      </c>
      <c r="B36" s="82">
        <v>168</v>
      </c>
      <c r="C36" s="82">
        <v>14</v>
      </c>
      <c r="D36" s="82">
        <v>-8.5</v>
      </c>
    </row>
    <row r="37" spans="1:4" s="79" customFormat="1"/>
    <row r="38" spans="1:4" s="79" customFormat="1" ht="12.75" customHeight="1">
      <c r="A38" s="79" t="s">
        <v>1075</v>
      </c>
    </row>
    <row r="39" spans="1:4" s="79" customFormat="1">
      <c r="A39" s="79" t="s">
        <v>1076</v>
      </c>
    </row>
    <row r="40" spans="1:4">
      <c r="A40" s="86" t="s">
        <v>1077</v>
      </c>
    </row>
    <row r="41" spans="1:4">
      <c r="A41" s="86" t="s">
        <v>1078</v>
      </c>
    </row>
  </sheetData>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ColWidth="8.796875" defaultRowHeight="13.2"/>
  <cols>
    <col min="1" max="1" width="22.796875" style="86" customWidth="1"/>
    <col min="2" max="2" width="19.296875" style="86" customWidth="1"/>
    <col min="3" max="7" width="8.796875" style="86"/>
    <col min="8" max="8" width="9.19921875" style="169" customWidth="1"/>
    <col min="9" max="16384" width="8.796875" style="86"/>
  </cols>
  <sheetData>
    <row r="1" spans="1:9">
      <c r="A1" s="86" t="s">
        <v>1041</v>
      </c>
    </row>
    <row r="3" spans="1:9" ht="12.75" customHeight="1">
      <c r="B3" s="80" t="s">
        <v>1042</v>
      </c>
      <c r="C3" s="80"/>
      <c r="D3" s="80"/>
      <c r="E3" s="80"/>
      <c r="F3" s="80"/>
      <c r="G3" s="80"/>
      <c r="H3" s="170"/>
    </row>
    <row r="4" spans="1:9">
      <c r="A4" s="86" t="s">
        <v>1043</v>
      </c>
      <c r="B4" s="80" t="s">
        <v>1044</v>
      </c>
      <c r="C4" s="80" t="s">
        <v>1045</v>
      </c>
      <c r="D4" s="80" t="s">
        <v>1046</v>
      </c>
      <c r="E4" s="80" t="s">
        <v>1047</v>
      </c>
      <c r="F4" s="80" t="s">
        <v>1048</v>
      </c>
      <c r="G4" s="80" t="s">
        <v>1049</v>
      </c>
      <c r="H4" s="171" t="s">
        <v>1050</v>
      </c>
    </row>
    <row r="5" spans="1:9">
      <c r="B5" s="80" t="s">
        <v>1051</v>
      </c>
      <c r="C5" s="80" t="s">
        <v>1052</v>
      </c>
      <c r="D5" s="80" t="s">
        <v>1053</v>
      </c>
      <c r="E5" s="80" t="s">
        <v>1054</v>
      </c>
      <c r="F5" s="80" t="s">
        <v>1051</v>
      </c>
      <c r="G5" s="80" t="s">
        <v>1055</v>
      </c>
      <c r="H5" s="171" t="s">
        <v>1056</v>
      </c>
    </row>
    <row r="6" spans="1:9">
      <c r="B6" s="80"/>
      <c r="C6" s="80"/>
      <c r="D6" s="80"/>
      <c r="E6" s="80"/>
      <c r="F6" s="80"/>
      <c r="G6" s="80" t="s">
        <v>1051</v>
      </c>
      <c r="H6" s="171"/>
    </row>
    <row r="7" spans="1:9">
      <c r="B7" s="79"/>
      <c r="C7" s="79"/>
      <c r="D7" s="79"/>
      <c r="E7" s="79"/>
      <c r="F7" s="79"/>
      <c r="G7" s="79"/>
      <c r="H7" s="171"/>
    </row>
    <row r="8" spans="1:9">
      <c r="A8" s="86" t="s">
        <v>292</v>
      </c>
      <c r="B8" s="172">
        <v>403</v>
      </c>
      <c r="C8" s="173">
        <v>0.12</v>
      </c>
      <c r="D8" s="173">
        <v>0.15</v>
      </c>
      <c r="E8" s="173">
        <v>0.13</v>
      </c>
      <c r="F8" s="172">
        <v>144</v>
      </c>
      <c r="G8" s="174">
        <v>31.1</v>
      </c>
      <c r="H8" s="175">
        <v>65.099999999999994</v>
      </c>
      <c r="I8" s="176" t="s">
        <v>1057</v>
      </c>
    </row>
    <row r="9" spans="1:9">
      <c r="A9" s="86" t="s">
        <v>291</v>
      </c>
      <c r="B9" s="82">
        <v>392</v>
      </c>
      <c r="C9" s="82">
        <v>-1</v>
      </c>
      <c r="D9" s="82">
        <v>7</v>
      </c>
      <c r="E9" s="82">
        <v>38</v>
      </c>
      <c r="F9" s="82">
        <v>157</v>
      </c>
      <c r="G9" s="82">
        <v>28.5</v>
      </c>
      <c r="H9" s="171">
        <v>81.599999999999994</v>
      </c>
    </row>
    <row r="10" spans="1:9">
      <c r="A10" s="86" t="s">
        <v>293</v>
      </c>
      <c r="B10" s="82">
        <v>329</v>
      </c>
      <c r="C10" s="82">
        <v>5</v>
      </c>
      <c r="D10" s="82">
        <v>25</v>
      </c>
      <c r="E10" s="82">
        <v>9</v>
      </c>
      <c r="F10" s="82">
        <v>117</v>
      </c>
      <c r="G10" s="82">
        <v>51.7</v>
      </c>
      <c r="H10" s="171">
        <v>32.700000000000003</v>
      </c>
    </row>
    <row r="11" spans="1:9">
      <c r="A11" s="86" t="s">
        <v>306</v>
      </c>
      <c r="B11" s="82">
        <v>283</v>
      </c>
      <c r="C11" s="82">
        <v>4</v>
      </c>
      <c r="D11" s="82">
        <v>11</v>
      </c>
      <c r="E11" s="82">
        <v>48</v>
      </c>
      <c r="F11" s="82">
        <v>101</v>
      </c>
      <c r="G11" s="82">
        <v>-19.3</v>
      </c>
      <c r="H11" s="171">
        <v>89.5</v>
      </c>
    </row>
    <row r="12" spans="1:9">
      <c r="A12" s="86" t="s">
        <v>319</v>
      </c>
      <c r="B12" s="82">
        <v>279</v>
      </c>
      <c r="C12" s="82">
        <v>19</v>
      </c>
      <c r="D12" s="82">
        <v>17</v>
      </c>
      <c r="E12" s="82">
        <v>22</v>
      </c>
      <c r="F12" s="82">
        <v>103</v>
      </c>
      <c r="G12" s="82">
        <v>11.1</v>
      </c>
      <c r="H12" s="171">
        <v>53.6</v>
      </c>
    </row>
    <row r="13" spans="1:9">
      <c r="A13" s="86" t="s">
        <v>304</v>
      </c>
      <c r="B13" s="82">
        <v>266</v>
      </c>
      <c r="C13" s="82">
        <v>6</v>
      </c>
      <c r="D13" s="82">
        <v>14</v>
      </c>
      <c r="E13" s="82">
        <v>50</v>
      </c>
      <c r="F13" s="82">
        <v>102</v>
      </c>
      <c r="G13" s="82">
        <v>25.2</v>
      </c>
      <c r="H13" s="171">
        <v>45.5</v>
      </c>
    </row>
    <row r="14" spans="1:9">
      <c r="A14" s="86" t="s">
        <v>301</v>
      </c>
      <c r="B14" s="82">
        <v>248</v>
      </c>
      <c r="C14" s="82">
        <v>10</v>
      </c>
      <c r="D14" s="82">
        <v>24</v>
      </c>
      <c r="E14" s="82">
        <v>75</v>
      </c>
      <c r="F14" s="82">
        <v>99</v>
      </c>
      <c r="G14" s="82">
        <v>1.3</v>
      </c>
      <c r="H14" s="171">
        <v>66.900000000000006</v>
      </c>
    </row>
    <row r="15" spans="1:9">
      <c r="A15" s="86" t="s">
        <v>299</v>
      </c>
      <c r="B15" s="82">
        <v>234</v>
      </c>
      <c r="C15" s="82">
        <v>13</v>
      </c>
      <c r="D15" s="82">
        <v>14</v>
      </c>
      <c r="E15" s="82">
        <v>17</v>
      </c>
      <c r="F15" s="82">
        <v>81</v>
      </c>
      <c r="G15" s="82">
        <v>3.8</v>
      </c>
      <c r="H15" s="171">
        <v>52.3</v>
      </c>
    </row>
    <row r="16" spans="1:9">
      <c r="A16" s="86" t="s">
        <v>1058</v>
      </c>
      <c r="B16" s="82">
        <v>231</v>
      </c>
      <c r="C16" s="82">
        <v>0</v>
      </c>
      <c r="D16" s="82">
        <v>19</v>
      </c>
      <c r="E16" s="82">
        <v>24</v>
      </c>
      <c r="F16" s="82">
        <v>89</v>
      </c>
      <c r="G16" s="82">
        <v>0.7</v>
      </c>
      <c r="H16" s="171">
        <v>57.6</v>
      </c>
    </row>
    <row r="17" spans="1:8">
      <c r="A17" s="86" t="s">
        <v>312</v>
      </c>
      <c r="B17" s="82">
        <v>230</v>
      </c>
      <c r="C17" s="82">
        <v>-2</v>
      </c>
      <c r="D17" s="82">
        <v>13</v>
      </c>
      <c r="E17" s="82">
        <v>0</v>
      </c>
      <c r="F17" s="82">
        <v>92</v>
      </c>
      <c r="G17" s="82">
        <v>18</v>
      </c>
      <c r="H17" s="171">
        <v>40.5</v>
      </c>
    </row>
    <row r="18" spans="1:8">
      <c r="A18" s="86" t="s">
        <v>310</v>
      </c>
      <c r="B18" s="82">
        <v>225</v>
      </c>
      <c r="C18" s="82">
        <v>0</v>
      </c>
      <c r="D18" s="82">
        <v>15</v>
      </c>
      <c r="E18" s="82">
        <v>17</v>
      </c>
      <c r="F18" s="82">
        <v>88</v>
      </c>
      <c r="G18" s="82">
        <v>2.5</v>
      </c>
      <c r="H18" s="171">
        <v>56.7</v>
      </c>
    </row>
    <row r="19" spans="1:8">
      <c r="A19" s="86" t="s">
        <v>302</v>
      </c>
      <c r="B19" s="82">
        <v>221</v>
      </c>
      <c r="C19" s="82">
        <v>17</v>
      </c>
      <c r="D19" s="82">
        <v>14</v>
      </c>
      <c r="E19" s="82">
        <v>18</v>
      </c>
      <c r="F19" s="82">
        <v>82</v>
      </c>
      <c r="G19" s="82">
        <v>-2.4</v>
      </c>
      <c r="H19" s="171">
        <v>60.2</v>
      </c>
    </row>
    <row r="20" spans="1:8">
      <c r="A20" s="86" t="s">
        <v>294</v>
      </c>
      <c r="B20" s="82">
        <v>218</v>
      </c>
      <c r="C20" s="82">
        <v>3</v>
      </c>
      <c r="D20" s="82">
        <v>4</v>
      </c>
      <c r="E20" s="82">
        <v>25</v>
      </c>
      <c r="F20" s="82">
        <v>81</v>
      </c>
      <c r="G20" s="82">
        <v>9.8000000000000007</v>
      </c>
      <c r="H20" s="171">
        <v>49.5</v>
      </c>
    </row>
    <row r="21" spans="1:8">
      <c r="A21" s="86" t="s">
        <v>307</v>
      </c>
      <c r="B21" s="82">
        <v>214</v>
      </c>
      <c r="C21" s="82">
        <v>2</v>
      </c>
      <c r="D21" s="82">
        <v>15</v>
      </c>
      <c r="E21" s="82">
        <v>52</v>
      </c>
      <c r="F21" s="82">
        <v>81</v>
      </c>
      <c r="G21" s="82">
        <v>-5.7</v>
      </c>
      <c r="H21" s="171">
        <v>62.1</v>
      </c>
    </row>
    <row r="22" spans="1:8">
      <c r="A22" s="86" t="s">
        <v>300</v>
      </c>
      <c r="B22" s="82">
        <v>211</v>
      </c>
      <c r="C22" s="82">
        <v>26</v>
      </c>
      <c r="D22" s="82" t="s">
        <v>682</v>
      </c>
      <c r="E22" s="82">
        <v>50</v>
      </c>
      <c r="F22" s="82">
        <v>68</v>
      </c>
      <c r="G22" s="82">
        <v>-23.4</v>
      </c>
      <c r="H22" s="171">
        <v>59.9</v>
      </c>
    </row>
    <row r="23" spans="1:8">
      <c r="A23" s="86" t="s">
        <v>308</v>
      </c>
      <c r="B23" s="82">
        <v>209</v>
      </c>
      <c r="C23" s="82">
        <v>17</v>
      </c>
      <c r="D23" s="82">
        <v>10</v>
      </c>
      <c r="E23" s="82">
        <v>48</v>
      </c>
      <c r="F23" s="82">
        <v>87</v>
      </c>
      <c r="G23" s="82">
        <v>10</v>
      </c>
      <c r="H23" s="171">
        <v>49.1</v>
      </c>
    </row>
    <row r="24" spans="1:8">
      <c r="A24" s="86" t="s">
        <v>303</v>
      </c>
      <c r="B24" s="82">
        <v>202</v>
      </c>
      <c r="C24" s="82">
        <v>9</v>
      </c>
      <c r="D24" s="82">
        <v>14</v>
      </c>
      <c r="E24" s="82">
        <v>0</v>
      </c>
      <c r="F24" s="82">
        <v>75</v>
      </c>
      <c r="G24" s="82">
        <v>7.1</v>
      </c>
      <c r="H24" s="171">
        <v>47.8</v>
      </c>
    </row>
    <row r="25" spans="1:8">
      <c r="A25" s="86" t="s">
        <v>671</v>
      </c>
      <c r="B25" s="82">
        <v>200</v>
      </c>
      <c r="C25" s="82">
        <v>7</v>
      </c>
      <c r="D25" s="82" t="s">
        <v>682</v>
      </c>
      <c r="E25" s="82">
        <v>50</v>
      </c>
      <c r="F25" s="82">
        <v>80</v>
      </c>
      <c r="G25" s="82">
        <v>2.1</v>
      </c>
      <c r="H25" s="171">
        <v>53.6</v>
      </c>
    </row>
    <row r="26" spans="1:8">
      <c r="A26" s="86" t="s">
        <v>314</v>
      </c>
      <c r="B26" s="82">
        <v>199</v>
      </c>
      <c r="C26" s="82">
        <v>8</v>
      </c>
      <c r="D26" s="82" t="s">
        <v>682</v>
      </c>
      <c r="E26" s="82">
        <v>30</v>
      </c>
      <c r="F26" s="82">
        <v>76</v>
      </c>
      <c r="G26" s="82">
        <v>5.8</v>
      </c>
      <c r="H26" s="171">
        <v>42.2</v>
      </c>
    </row>
    <row r="27" spans="1:8">
      <c r="A27" s="86" t="s">
        <v>311</v>
      </c>
      <c r="B27" s="82">
        <v>188</v>
      </c>
      <c r="C27" s="82">
        <v>7</v>
      </c>
      <c r="D27" s="82" t="s">
        <v>682</v>
      </c>
      <c r="E27" s="82">
        <v>36</v>
      </c>
      <c r="F27" s="82">
        <v>72</v>
      </c>
      <c r="G27" s="82">
        <v>-7.6</v>
      </c>
      <c r="H27" s="171">
        <v>54.8</v>
      </c>
    </row>
    <row r="28" spans="1:8">
      <c r="A28" s="86" t="s">
        <v>318</v>
      </c>
      <c r="B28" s="82">
        <v>185</v>
      </c>
      <c r="C28" s="82">
        <v>9</v>
      </c>
      <c r="D28" s="82">
        <v>13</v>
      </c>
      <c r="E28" s="82">
        <v>11</v>
      </c>
      <c r="F28" s="82">
        <v>77</v>
      </c>
      <c r="G28" s="82">
        <v>4.2</v>
      </c>
      <c r="H28" s="171">
        <v>50.2</v>
      </c>
    </row>
    <row r="29" spans="1:8">
      <c r="A29" s="86" t="s">
        <v>309</v>
      </c>
      <c r="B29" s="82">
        <v>176</v>
      </c>
      <c r="C29" s="82">
        <v>6</v>
      </c>
      <c r="D29" s="82">
        <v>8</v>
      </c>
      <c r="E29" s="82">
        <v>31</v>
      </c>
      <c r="F29" s="82">
        <v>76</v>
      </c>
      <c r="G29" s="82">
        <v>13.3</v>
      </c>
      <c r="H29" s="171">
        <v>40</v>
      </c>
    </row>
    <row r="30" spans="1:8">
      <c r="A30" s="86" t="s">
        <v>305</v>
      </c>
      <c r="B30" s="82">
        <v>172</v>
      </c>
      <c r="C30" s="82">
        <v>17</v>
      </c>
      <c r="D30" s="82">
        <v>11</v>
      </c>
      <c r="E30" s="82">
        <v>80</v>
      </c>
      <c r="F30" s="82">
        <v>75</v>
      </c>
      <c r="G30" s="82">
        <v>5.0999999999999996</v>
      </c>
      <c r="H30" s="171">
        <v>40.9</v>
      </c>
    </row>
    <row r="31" spans="1:8">
      <c r="A31" s="86" t="s">
        <v>295</v>
      </c>
      <c r="B31" s="82">
        <v>170</v>
      </c>
      <c r="C31" s="82">
        <v>10</v>
      </c>
      <c r="D31" s="82">
        <v>14</v>
      </c>
      <c r="E31" s="82">
        <v>0</v>
      </c>
      <c r="F31" s="82">
        <v>68</v>
      </c>
      <c r="G31" s="82">
        <v>11.5</v>
      </c>
      <c r="H31" s="171">
        <v>32.6</v>
      </c>
    </row>
    <row r="32" spans="1:8">
      <c r="A32" s="86" t="s">
        <v>480</v>
      </c>
      <c r="B32" s="82">
        <v>169</v>
      </c>
      <c r="C32" s="82">
        <v>-6</v>
      </c>
      <c r="D32" s="82">
        <v>4</v>
      </c>
      <c r="E32" s="82">
        <v>93</v>
      </c>
      <c r="F32" s="82">
        <v>73</v>
      </c>
      <c r="G32" s="82">
        <v>-11.3</v>
      </c>
      <c r="H32" s="171">
        <v>59.7</v>
      </c>
    </row>
    <row r="33" spans="1:8">
      <c r="A33" s="86" t="s">
        <v>296</v>
      </c>
      <c r="B33" s="82">
        <v>166</v>
      </c>
      <c r="C33" s="82">
        <v>-1</v>
      </c>
      <c r="D33" s="82">
        <v>6</v>
      </c>
      <c r="E33" s="82">
        <v>60</v>
      </c>
      <c r="F33" s="82">
        <v>69</v>
      </c>
      <c r="G33" s="82">
        <v>2.9</v>
      </c>
      <c r="H33" s="171">
        <v>44.9</v>
      </c>
    </row>
    <row r="34" spans="1:8">
      <c r="A34" s="86" t="s">
        <v>1059</v>
      </c>
      <c r="B34" s="82">
        <v>160</v>
      </c>
      <c r="C34" s="82">
        <v>36</v>
      </c>
      <c r="D34" s="82" t="s">
        <v>682</v>
      </c>
      <c r="E34" s="82">
        <v>50</v>
      </c>
      <c r="F34" s="82">
        <v>53</v>
      </c>
      <c r="G34" s="82">
        <v>-13.3</v>
      </c>
      <c r="H34" s="171">
        <v>51.2</v>
      </c>
    </row>
    <row r="35" spans="1:8">
      <c r="A35" s="86" t="s">
        <v>320</v>
      </c>
      <c r="B35" s="82">
        <v>150</v>
      </c>
      <c r="C35" s="82">
        <v>14</v>
      </c>
      <c r="D35" s="82">
        <v>14</v>
      </c>
      <c r="E35" s="82">
        <v>13</v>
      </c>
      <c r="F35" s="82">
        <v>65</v>
      </c>
      <c r="G35" s="82">
        <v>-16.3</v>
      </c>
      <c r="H35" s="171">
        <v>60.4</v>
      </c>
    </row>
    <row r="36" spans="1:8">
      <c r="A36" s="86" t="s">
        <v>316</v>
      </c>
      <c r="B36" s="82">
        <v>135</v>
      </c>
      <c r="C36" s="82">
        <v>-6</v>
      </c>
      <c r="D36" s="82">
        <v>11</v>
      </c>
      <c r="E36" s="82">
        <v>37</v>
      </c>
      <c r="F36" s="82">
        <v>65</v>
      </c>
      <c r="G36" s="82">
        <v>-0.5</v>
      </c>
      <c r="H36" s="171">
        <v>49.4</v>
      </c>
    </row>
    <row r="37" spans="1:8" ht="33.75" customHeight="1">
      <c r="A37" s="79" t="s">
        <v>1060</v>
      </c>
      <c r="B37" s="79"/>
      <c r="C37" s="79"/>
      <c r="D37" s="79"/>
      <c r="E37" s="79"/>
      <c r="F37" s="79"/>
      <c r="G37" s="79"/>
      <c r="H37" s="171"/>
    </row>
    <row r="38" spans="1:8">
      <c r="A38" s="78" t="s">
        <v>1061</v>
      </c>
      <c r="B38" s="78"/>
      <c r="C38" s="78"/>
      <c r="D38" s="78"/>
      <c r="E38" s="78"/>
      <c r="F38" s="78"/>
      <c r="G38" s="78"/>
      <c r="H38" s="177"/>
    </row>
    <row r="39" spans="1:8">
      <c r="A39" s="86" t="s">
        <v>1062</v>
      </c>
    </row>
    <row r="40" spans="1:8">
      <c r="A40" s="86" t="s">
        <v>1063</v>
      </c>
    </row>
    <row r="41" spans="1:8">
      <c r="A41" s="86" t="s">
        <v>1064</v>
      </c>
    </row>
    <row r="42" spans="1:8">
      <c r="A42" s="86" t="s">
        <v>1065</v>
      </c>
    </row>
  </sheetData>
  <pageMargins left="0.75" right="0.75" top="1" bottom="1" header="0.5" footer="0.5"/>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ColWidth="8.796875" defaultRowHeight="13.2"/>
  <cols>
    <col min="1" max="1" width="21.5" style="160" customWidth="1"/>
    <col min="2" max="2" width="18.296875" style="160" customWidth="1"/>
    <col min="3" max="15" width="9.19921875" style="160" customWidth="1"/>
    <col min="16" max="16384" width="8.796875" style="86"/>
  </cols>
  <sheetData>
    <row r="1" spans="1:15">
      <c r="A1" s="160" t="s">
        <v>962</v>
      </c>
    </row>
    <row r="2" spans="1:15" ht="18.600000000000001">
      <c r="A2" s="161" t="s">
        <v>963</v>
      </c>
      <c r="B2" s="162" t="s">
        <v>964</v>
      </c>
      <c r="C2" s="162" t="s">
        <v>965</v>
      </c>
      <c r="D2" s="162" t="s">
        <v>966</v>
      </c>
      <c r="E2" s="162" t="s">
        <v>967</v>
      </c>
      <c r="F2" s="162" t="s">
        <v>968</v>
      </c>
      <c r="G2" s="161" t="s">
        <v>969</v>
      </c>
      <c r="H2" s="162" t="s">
        <v>970</v>
      </c>
      <c r="I2" s="162" t="s">
        <v>971</v>
      </c>
      <c r="J2" s="162" t="s">
        <v>972</v>
      </c>
      <c r="K2" s="162" t="s">
        <v>973</v>
      </c>
      <c r="L2" s="161" t="s">
        <v>974</v>
      </c>
      <c r="M2" s="162" t="s">
        <v>975</v>
      </c>
      <c r="N2" s="162" t="s">
        <v>976</v>
      </c>
      <c r="O2" s="161" t="s">
        <v>977</v>
      </c>
    </row>
    <row r="3" spans="1:15" ht="15.6">
      <c r="A3" s="86" t="s">
        <v>291</v>
      </c>
      <c r="B3" s="163">
        <v>395</v>
      </c>
      <c r="C3" s="163">
        <v>18</v>
      </c>
      <c r="D3" s="163">
        <v>38</v>
      </c>
      <c r="E3" s="163">
        <v>152</v>
      </c>
      <c r="F3" s="163">
        <v>30.7</v>
      </c>
      <c r="G3" s="164" t="s">
        <v>931</v>
      </c>
      <c r="H3" s="165" t="s">
        <v>978</v>
      </c>
      <c r="I3" s="163"/>
      <c r="J3" s="163">
        <v>74.8</v>
      </c>
      <c r="K3" s="163">
        <v>43.5</v>
      </c>
      <c r="L3" s="164" t="s">
        <v>979</v>
      </c>
      <c r="M3" s="163">
        <v>296</v>
      </c>
      <c r="N3" s="163">
        <v>334</v>
      </c>
      <c r="O3" s="164" t="s">
        <v>980</v>
      </c>
    </row>
    <row r="4" spans="1:15" ht="15.6">
      <c r="A4" s="86" t="s">
        <v>292</v>
      </c>
      <c r="B4" s="163">
        <v>360</v>
      </c>
      <c r="C4" s="163">
        <v>28</v>
      </c>
      <c r="D4" s="163">
        <v>15</v>
      </c>
      <c r="E4" s="163">
        <v>133.19999999999999</v>
      </c>
      <c r="F4" s="163">
        <v>36.6</v>
      </c>
      <c r="G4" s="164" t="s">
        <v>933</v>
      </c>
      <c r="H4" s="165" t="s">
        <v>981</v>
      </c>
      <c r="I4" s="163"/>
      <c r="J4" s="163">
        <v>57.7</v>
      </c>
      <c r="K4" s="163">
        <v>50.2</v>
      </c>
      <c r="L4" s="164" t="s">
        <v>982</v>
      </c>
      <c r="M4" s="163">
        <v>268</v>
      </c>
      <c r="N4" s="163">
        <v>282</v>
      </c>
      <c r="O4" s="166" t="s">
        <v>983</v>
      </c>
    </row>
    <row r="5" spans="1:15" ht="15.6">
      <c r="A5" s="86" t="s">
        <v>293</v>
      </c>
      <c r="B5" s="163">
        <v>314</v>
      </c>
      <c r="C5" s="163">
        <v>2</v>
      </c>
      <c r="D5" s="163">
        <v>10</v>
      </c>
      <c r="E5" s="163">
        <v>112.2</v>
      </c>
      <c r="F5" s="163">
        <v>48.2</v>
      </c>
      <c r="G5" s="164" t="s">
        <v>932</v>
      </c>
      <c r="H5" s="165" t="s">
        <v>981</v>
      </c>
      <c r="I5" s="163"/>
      <c r="J5" s="163">
        <v>29.5</v>
      </c>
      <c r="K5" s="163">
        <v>30.5</v>
      </c>
      <c r="L5" s="164" t="s">
        <v>984</v>
      </c>
      <c r="M5" s="163">
        <v>303</v>
      </c>
      <c r="N5" s="163">
        <v>307</v>
      </c>
      <c r="O5" s="166" t="s">
        <v>985</v>
      </c>
    </row>
    <row r="6" spans="1:15" ht="15.6">
      <c r="A6" s="86" t="s">
        <v>306</v>
      </c>
      <c r="B6" s="163">
        <v>272</v>
      </c>
      <c r="C6" s="163">
        <v>6</v>
      </c>
      <c r="D6" s="163">
        <v>55</v>
      </c>
      <c r="E6" s="163">
        <v>97.3</v>
      </c>
      <c r="F6" s="163">
        <v>-12.8</v>
      </c>
      <c r="G6" s="164" t="s">
        <v>934</v>
      </c>
      <c r="H6" s="165" t="s">
        <v>986</v>
      </c>
      <c r="I6" s="167">
        <v>36000</v>
      </c>
      <c r="J6" s="163">
        <v>76.400000000000006</v>
      </c>
      <c r="K6" s="163">
        <v>44</v>
      </c>
      <c r="L6" s="164" t="s">
        <v>987</v>
      </c>
      <c r="M6" s="163">
        <v>245</v>
      </c>
      <c r="N6" s="163">
        <v>257</v>
      </c>
      <c r="O6" s="163"/>
    </row>
    <row r="7" spans="1:15" ht="15.6">
      <c r="A7" s="86" t="s">
        <v>304</v>
      </c>
      <c r="B7" s="163">
        <v>252</v>
      </c>
      <c r="C7" s="163">
        <v>5</v>
      </c>
      <c r="D7" s="163">
        <v>10</v>
      </c>
      <c r="E7" s="163">
        <v>96.8</v>
      </c>
      <c r="F7" s="163">
        <v>16.5</v>
      </c>
      <c r="G7" s="164" t="s">
        <v>935</v>
      </c>
      <c r="H7" s="165" t="s">
        <v>981</v>
      </c>
      <c r="I7" s="163"/>
      <c r="J7" s="163">
        <v>49</v>
      </c>
      <c r="K7" s="163">
        <v>24</v>
      </c>
      <c r="L7" s="164" t="s">
        <v>988</v>
      </c>
      <c r="M7" s="163">
        <v>235</v>
      </c>
      <c r="N7" s="163">
        <v>239</v>
      </c>
      <c r="O7" s="164" t="s">
        <v>989</v>
      </c>
    </row>
    <row r="8" spans="1:15" ht="15.6">
      <c r="A8" s="86" t="s">
        <v>312</v>
      </c>
      <c r="B8" s="163">
        <v>236</v>
      </c>
      <c r="C8" s="163">
        <v>4</v>
      </c>
      <c r="D8" s="163">
        <v>0</v>
      </c>
      <c r="E8" s="163">
        <v>90.6</v>
      </c>
      <c r="F8" s="163">
        <v>11.6</v>
      </c>
      <c r="G8" s="164" t="s">
        <v>937</v>
      </c>
      <c r="H8" s="165" t="s">
        <v>986</v>
      </c>
      <c r="I8" s="167">
        <v>2100</v>
      </c>
      <c r="J8" s="163">
        <v>44.6</v>
      </c>
      <c r="K8" s="163">
        <v>17.899999999999999</v>
      </c>
      <c r="L8" s="164" t="s">
        <v>990</v>
      </c>
      <c r="M8" s="163">
        <v>206</v>
      </c>
      <c r="N8" s="163">
        <v>226</v>
      </c>
      <c r="O8" s="163"/>
    </row>
    <row r="9" spans="1:15" ht="15.6">
      <c r="A9" s="86" t="s">
        <v>319</v>
      </c>
      <c r="B9" s="163">
        <v>233</v>
      </c>
      <c r="C9" s="163">
        <v>1</v>
      </c>
      <c r="D9" s="163">
        <v>30</v>
      </c>
      <c r="E9" s="163">
        <v>86.3</v>
      </c>
      <c r="F9" s="163">
        <v>6.5</v>
      </c>
      <c r="G9" s="164" t="s">
        <v>936</v>
      </c>
      <c r="H9" s="165" t="s">
        <v>978</v>
      </c>
      <c r="I9" s="163"/>
      <c r="J9" s="163">
        <v>44.8</v>
      </c>
      <c r="K9" s="163">
        <v>22.2</v>
      </c>
      <c r="L9" s="164" t="s">
        <v>991</v>
      </c>
      <c r="M9" s="163">
        <v>196</v>
      </c>
      <c r="N9" s="163">
        <v>231</v>
      </c>
      <c r="O9" s="166" t="s">
        <v>992</v>
      </c>
    </row>
    <row r="10" spans="1:15" ht="15.6">
      <c r="A10" s="86" t="s">
        <v>313</v>
      </c>
      <c r="B10" s="163">
        <v>232</v>
      </c>
      <c r="C10" s="163">
        <v>31</v>
      </c>
      <c r="D10" s="163">
        <v>25</v>
      </c>
      <c r="E10" s="163">
        <v>86.1</v>
      </c>
      <c r="F10" s="163">
        <v>0.9</v>
      </c>
      <c r="G10" s="164" t="s">
        <v>943</v>
      </c>
      <c r="H10" s="165" t="s">
        <v>993</v>
      </c>
      <c r="I10" s="163"/>
      <c r="J10" s="163">
        <v>56.7</v>
      </c>
      <c r="K10" s="163">
        <v>32</v>
      </c>
      <c r="L10" s="164" t="s">
        <v>994</v>
      </c>
      <c r="M10" s="163">
        <v>152</v>
      </c>
      <c r="N10" s="163">
        <v>178</v>
      </c>
      <c r="O10" s="166" t="s">
        <v>995</v>
      </c>
    </row>
    <row r="11" spans="1:15" ht="15.6">
      <c r="A11" s="86" t="s">
        <v>310</v>
      </c>
      <c r="B11" s="163">
        <v>226</v>
      </c>
      <c r="C11" s="163">
        <v>5</v>
      </c>
      <c r="D11" s="163">
        <v>19</v>
      </c>
      <c r="E11" s="163">
        <v>87</v>
      </c>
      <c r="F11" s="163">
        <v>5.2</v>
      </c>
      <c r="G11" s="164" t="s">
        <v>938</v>
      </c>
      <c r="H11" s="165" t="s">
        <v>981</v>
      </c>
      <c r="I11" s="163"/>
      <c r="J11" s="163">
        <v>51.7</v>
      </c>
      <c r="K11" s="163">
        <v>33.799999999999997</v>
      </c>
      <c r="L11" s="164" t="s">
        <v>996</v>
      </c>
      <c r="M11" s="163">
        <v>200</v>
      </c>
      <c r="N11" s="163">
        <v>215</v>
      </c>
      <c r="O11" s="166" t="s">
        <v>997</v>
      </c>
    </row>
    <row r="12" spans="1:15" ht="15.6">
      <c r="A12" s="86" t="s">
        <v>301</v>
      </c>
      <c r="B12" s="163">
        <v>225</v>
      </c>
      <c r="C12" s="163">
        <v>39</v>
      </c>
      <c r="D12" s="163">
        <v>82</v>
      </c>
      <c r="E12" s="163">
        <v>89.9</v>
      </c>
      <c r="F12" s="163">
        <v>9.6999999999999993</v>
      </c>
      <c r="G12" s="164" t="s">
        <v>948</v>
      </c>
      <c r="H12" s="165" t="s">
        <v>986</v>
      </c>
      <c r="I12" s="167">
        <v>2700</v>
      </c>
      <c r="J12" s="163">
        <v>53.5</v>
      </c>
      <c r="K12" s="163">
        <v>29.9</v>
      </c>
      <c r="L12" s="164" t="s">
        <v>998</v>
      </c>
      <c r="M12" s="163">
        <v>145</v>
      </c>
      <c r="N12" s="163">
        <v>162</v>
      </c>
      <c r="O12" s="166" t="s">
        <v>999</v>
      </c>
    </row>
    <row r="13" spans="1:15" ht="15.6">
      <c r="A13" s="86" t="s">
        <v>294</v>
      </c>
      <c r="B13" s="163">
        <v>212</v>
      </c>
      <c r="C13" s="163">
        <v>13</v>
      </c>
      <c r="D13" s="163">
        <v>44</v>
      </c>
      <c r="E13" s="163">
        <v>81.5</v>
      </c>
      <c r="F13" s="163">
        <v>12.4</v>
      </c>
      <c r="G13" s="164" t="s">
        <v>941</v>
      </c>
      <c r="H13" s="165" t="s">
        <v>978</v>
      </c>
      <c r="I13" s="163"/>
      <c r="J13" s="163">
        <v>48.7</v>
      </c>
      <c r="K13" s="163">
        <v>24.9</v>
      </c>
      <c r="L13" s="164" t="s">
        <v>1000</v>
      </c>
      <c r="M13" s="163">
        <v>176</v>
      </c>
      <c r="N13" s="163">
        <v>187</v>
      </c>
      <c r="O13" s="166" t="s">
        <v>1001</v>
      </c>
    </row>
    <row r="14" spans="1:15" ht="15.6">
      <c r="A14" s="86" t="s">
        <v>307</v>
      </c>
      <c r="B14" s="163">
        <v>210</v>
      </c>
      <c r="C14" s="163">
        <v>0</v>
      </c>
      <c r="D14" s="163">
        <v>53</v>
      </c>
      <c r="E14" s="163">
        <v>75</v>
      </c>
      <c r="F14" s="163">
        <v>-6.1</v>
      </c>
      <c r="G14" s="164" t="s">
        <v>940</v>
      </c>
      <c r="H14" s="165" t="s">
        <v>981</v>
      </c>
      <c r="I14" s="163"/>
      <c r="J14" s="163">
        <v>55.1</v>
      </c>
      <c r="K14" s="163">
        <v>20.3</v>
      </c>
      <c r="L14" s="164" t="s">
        <v>1002</v>
      </c>
      <c r="M14" s="163">
        <v>207</v>
      </c>
      <c r="N14" s="163">
        <v>209</v>
      </c>
      <c r="O14" s="166" t="s">
        <v>1003</v>
      </c>
    </row>
    <row r="15" spans="1:15" ht="15.6">
      <c r="A15" s="86" t="s">
        <v>299</v>
      </c>
      <c r="B15" s="163">
        <v>206</v>
      </c>
      <c r="C15" s="163">
        <v>23</v>
      </c>
      <c r="D15" s="163">
        <v>19</v>
      </c>
      <c r="E15" s="163">
        <v>79.400000000000006</v>
      </c>
      <c r="F15" s="163">
        <v>-1</v>
      </c>
      <c r="G15" s="164" t="s">
        <v>946</v>
      </c>
      <c r="H15" s="165" t="s">
        <v>981</v>
      </c>
      <c r="I15" s="163"/>
      <c r="J15" s="163">
        <v>54.8</v>
      </c>
      <c r="K15" s="163">
        <v>33.1</v>
      </c>
      <c r="L15" s="164" t="s">
        <v>1004</v>
      </c>
      <c r="M15" s="163">
        <v>166</v>
      </c>
      <c r="N15" s="163">
        <v>168</v>
      </c>
      <c r="O15" s="166" t="s">
        <v>1005</v>
      </c>
    </row>
    <row r="16" spans="1:15" ht="15.6">
      <c r="A16" s="86" t="s">
        <v>302</v>
      </c>
      <c r="B16" s="163">
        <v>189</v>
      </c>
      <c r="C16" s="163">
        <v>12</v>
      </c>
      <c r="D16" s="163">
        <v>21</v>
      </c>
      <c r="E16" s="163">
        <v>67.400000000000006</v>
      </c>
      <c r="F16" s="163">
        <v>-1.4</v>
      </c>
      <c r="G16" s="164" t="s">
        <v>945</v>
      </c>
      <c r="H16" s="165" t="s">
        <v>981</v>
      </c>
      <c r="I16" s="163"/>
      <c r="J16" s="163">
        <v>46.3</v>
      </c>
      <c r="K16" s="163">
        <v>26.9</v>
      </c>
      <c r="L16" s="164" t="s">
        <v>1006</v>
      </c>
      <c r="M16" s="163">
        <v>122</v>
      </c>
      <c r="N16" s="163">
        <v>169</v>
      </c>
      <c r="O16" s="163"/>
    </row>
    <row r="17" spans="1:15" ht="15.6">
      <c r="A17" s="86" t="s">
        <v>671</v>
      </c>
      <c r="B17" s="163">
        <v>187</v>
      </c>
      <c r="C17" s="163">
        <v>2</v>
      </c>
      <c r="D17" s="163">
        <v>39</v>
      </c>
      <c r="E17" s="163">
        <v>74.7</v>
      </c>
      <c r="F17" s="163">
        <v>6.7</v>
      </c>
      <c r="G17" s="164" t="s">
        <v>942</v>
      </c>
      <c r="H17" s="165" t="s">
        <v>978</v>
      </c>
      <c r="I17" s="163"/>
      <c r="J17" s="163">
        <v>43.8</v>
      </c>
      <c r="K17" s="163">
        <v>28.5</v>
      </c>
      <c r="L17" s="164" t="s">
        <v>1007</v>
      </c>
      <c r="M17" s="163">
        <v>169</v>
      </c>
      <c r="N17" s="163">
        <v>183</v>
      </c>
      <c r="O17" s="166" t="s">
        <v>1008</v>
      </c>
    </row>
    <row r="18" spans="1:15" ht="15.6">
      <c r="A18" s="86" t="s">
        <v>303</v>
      </c>
      <c r="B18" s="163">
        <v>185</v>
      </c>
      <c r="C18" s="163">
        <v>9</v>
      </c>
      <c r="D18" s="163">
        <v>0</v>
      </c>
      <c r="E18" s="163">
        <v>68.599999999999994</v>
      </c>
      <c r="F18" s="163">
        <v>-2</v>
      </c>
      <c r="G18" s="164" t="s">
        <v>944</v>
      </c>
      <c r="H18" s="165" t="s">
        <v>1009</v>
      </c>
      <c r="I18" s="167">
        <v>1400</v>
      </c>
      <c r="J18" s="163">
        <v>49</v>
      </c>
      <c r="K18" s="163">
        <v>15.3</v>
      </c>
      <c r="L18" s="164" t="s">
        <v>1010</v>
      </c>
      <c r="M18" s="163">
        <v>161</v>
      </c>
      <c r="N18" s="163">
        <v>170</v>
      </c>
      <c r="O18" s="163"/>
    </row>
    <row r="19" spans="1:15" ht="15.6">
      <c r="A19" s="86" t="s">
        <v>314</v>
      </c>
      <c r="B19" s="163">
        <v>184</v>
      </c>
      <c r="C19" s="163">
        <v>23</v>
      </c>
      <c r="D19" s="163">
        <v>33</v>
      </c>
      <c r="E19" s="163">
        <v>70.8</v>
      </c>
      <c r="F19" s="163">
        <v>-1.8</v>
      </c>
      <c r="G19" s="164" t="s">
        <v>1011</v>
      </c>
      <c r="H19" s="165" t="s">
        <v>978</v>
      </c>
      <c r="I19" s="163"/>
      <c r="J19" s="163">
        <v>45.6</v>
      </c>
      <c r="K19" s="163">
        <v>16.7</v>
      </c>
      <c r="L19" s="164" t="s">
        <v>1012</v>
      </c>
      <c r="M19" s="163">
        <v>140</v>
      </c>
      <c r="N19" s="163">
        <v>150</v>
      </c>
      <c r="O19" s="164" t="s">
        <v>1013</v>
      </c>
    </row>
    <row r="20" spans="1:15" ht="15.6">
      <c r="A20" s="86" t="s">
        <v>480</v>
      </c>
      <c r="B20" s="163">
        <v>179</v>
      </c>
      <c r="C20" s="163">
        <v>8</v>
      </c>
      <c r="D20" s="163">
        <v>78</v>
      </c>
      <c r="E20" s="163">
        <v>78</v>
      </c>
      <c r="F20" s="163">
        <v>8.6999999999999993</v>
      </c>
      <c r="G20" s="164" t="s">
        <v>1014</v>
      </c>
      <c r="H20" s="165" t="s">
        <v>978</v>
      </c>
      <c r="I20" s="163"/>
      <c r="J20" s="163">
        <v>45.3</v>
      </c>
      <c r="K20" s="163">
        <v>27.1</v>
      </c>
      <c r="L20" s="164" t="s">
        <v>1015</v>
      </c>
      <c r="M20" s="163">
        <v>157</v>
      </c>
      <c r="N20" s="163">
        <v>166</v>
      </c>
      <c r="O20" s="166" t="s">
        <v>1016</v>
      </c>
    </row>
    <row r="21" spans="1:15" ht="15.6">
      <c r="A21" s="86" t="s">
        <v>308</v>
      </c>
      <c r="B21" s="163">
        <v>178</v>
      </c>
      <c r="C21" s="163">
        <v>18</v>
      </c>
      <c r="D21" s="163">
        <v>36</v>
      </c>
      <c r="E21" s="163">
        <v>71.3</v>
      </c>
      <c r="F21" s="163">
        <v>2.8</v>
      </c>
      <c r="G21" s="164" t="s">
        <v>950</v>
      </c>
      <c r="H21" s="165" t="s">
        <v>981</v>
      </c>
      <c r="I21" s="163"/>
      <c r="J21" s="163">
        <v>42.6</v>
      </c>
      <c r="K21" s="163">
        <v>27.2</v>
      </c>
      <c r="L21" s="164" t="s">
        <v>1017</v>
      </c>
      <c r="M21" s="163">
        <v>119</v>
      </c>
      <c r="N21" s="163">
        <v>151</v>
      </c>
      <c r="O21" s="166" t="s">
        <v>1018</v>
      </c>
    </row>
    <row r="22" spans="1:15" ht="15.6">
      <c r="A22" s="86" t="s">
        <v>311</v>
      </c>
      <c r="B22" s="163">
        <v>175</v>
      </c>
      <c r="C22" s="163">
        <v>42</v>
      </c>
      <c r="D22" s="163">
        <v>39</v>
      </c>
      <c r="E22" s="163">
        <v>67.5</v>
      </c>
      <c r="F22" s="163">
        <v>-2.7</v>
      </c>
      <c r="G22" s="164" t="s">
        <v>1019</v>
      </c>
      <c r="H22" s="165" t="s">
        <v>986</v>
      </c>
      <c r="I22" s="163">
        <v>900</v>
      </c>
      <c r="J22" s="163">
        <v>45.7</v>
      </c>
      <c r="K22" s="163">
        <v>15</v>
      </c>
      <c r="L22" s="164" t="s">
        <v>1020</v>
      </c>
      <c r="M22" s="163">
        <v>110</v>
      </c>
      <c r="N22" s="163">
        <v>124</v>
      </c>
      <c r="O22" s="166" t="s">
        <v>1021</v>
      </c>
    </row>
    <row r="23" spans="1:15" ht="15.6">
      <c r="A23" s="86" t="s">
        <v>318</v>
      </c>
      <c r="B23" s="163">
        <v>169</v>
      </c>
      <c r="C23" s="163">
        <v>16</v>
      </c>
      <c r="D23" s="163">
        <v>12</v>
      </c>
      <c r="E23" s="163">
        <v>70.400000000000006</v>
      </c>
      <c r="F23" s="163">
        <v>5.8</v>
      </c>
      <c r="G23" s="164" t="s">
        <v>952</v>
      </c>
      <c r="H23" s="165" t="s">
        <v>986</v>
      </c>
      <c r="I23" s="167">
        <v>1800</v>
      </c>
      <c r="J23" s="163">
        <v>44.6</v>
      </c>
      <c r="K23" s="163">
        <v>22.8</v>
      </c>
      <c r="L23" s="164" t="s">
        <v>1022</v>
      </c>
      <c r="M23" s="163">
        <v>119</v>
      </c>
      <c r="N23" s="163">
        <v>146</v>
      </c>
      <c r="O23" s="166" t="s">
        <v>92</v>
      </c>
    </row>
    <row r="24" spans="1:15" ht="15.6">
      <c r="A24" s="86" t="s">
        <v>296</v>
      </c>
      <c r="B24" s="163">
        <v>168</v>
      </c>
      <c r="C24" s="163">
        <v>20</v>
      </c>
      <c r="D24" s="163">
        <v>67</v>
      </c>
      <c r="E24" s="163">
        <v>67.2</v>
      </c>
      <c r="F24" s="163">
        <v>6</v>
      </c>
      <c r="G24" s="164" t="s">
        <v>954</v>
      </c>
      <c r="H24" s="165" t="s">
        <v>981</v>
      </c>
      <c r="I24" s="163"/>
      <c r="J24" s="163">
        <v>38.6</v>
      </c>
      <c r="K24" s="163">
        <v>19.3</v>
      </c>
      <c r="L24" s="164" t="s">
        <v>1023</v>
      </c>
      <c r="M24" s="163">
        <v>130</v>
      </c>
      <c r="N24" s="163">
        <v>140</v>
      </c>
      <c r="O24" s="163"/>
    </row>
    <row r="25" spans="1:15" ht="15.6">
      <c r="A25" s="86" t="s">
        <v>300</v>
      </c>
      <c r="B25" s="163">
        <v>167</v>
      </c>
      <c r="C25" s="163">
        <v>19</v>
      </c>
      <c r="D25" s="163">
        <v>64</v>
      </c>
      <c r="E25" s="163">
        <v>59.7</v>
      </c>
      <c r="F25" s="163">
        <v>-6.7</v>
      </c>
      <c r="G25" s="164" t="s">
        <v>1024</v>
      </c>
      <c r="H25" s="165" t="s">
        <v>986</v>
      </c>
      <c r="I25" s="167">
        <v>1900</v>
      </c>
      <c r="J25" s="163">
        <v>42</v>
      </c>
      <c r="K25" s="163">
        <v>21.3</v>
      </c>
      <c r="L25" s="164" t="s">
        <v>1025</v>
      </c>
      <c r="M25" s="163">
        <v>119</v>
      </c>
      <c r="N25" s="163">
        <v>141</v>
      </c>
      <c r="O25" s="163"/>
    </row>
    <row r="26" spans="1:15" ht="15.6">
      <c r="A26" s="86" t="s">
        <v>309</v>
      </c>
      <c r="B26" s="163">
        <v>165</v>
      </c>
      <c r="C26" s="163">
        <v>4</v>
      </c>
      <c r="D26" s="163">
        <v>33</v>
      </c>
      <c r="E26" s="163">
        <v>66</v>
      </c>
      <c r="F26" s="163">
        <v>-0.2</v>
      </c>
      <c r="G26" s="164" t="s">
        <v>949</v>
      </c>
      <c r="H26" s="165" t="s">
        <v>986</v>
      </c>
      <c r="I26" s="167">
        <v>1600</v>
      </c>
      <c r="J26" s="163">
        <v>44.1</v>
      </c>
      <c r="K26" s="163">
        <v>21.6</v>
      </c>
      <c r="L26" s="164" t="s">
        <v>1026</v>
      </c>
      <c r="M26" s="163">
        <v>134</v>
      </c>
      <c r="N26" s="163">
        <v>159</v>
      </c>
      <c r="O26" s="166" t="s">
        <v>1027</v>
      </c>
    </row>
    <row r="27" spans="1:15" ht="15.6">
      <c r="A27" s="86" t="s">
        <v>295</v>
      </c>
      <c r="B27" s="163">
        <v>154</v>
      </c>
      <c r="C27" s="163">
        <v>50</v>
      </c>
      <c r="D27" s="163">
        <v>0</v>
      </c>
      <c r="E27" s="163">
        <v>61.8</v>
      </c>
      <c r="F27" s="163">
        <v>11.5</v>
      </c>
      <c r="G27" s="164" t="s">
        <v>960</v>
      </c>
      <c r="H27" s="165" t="s">
        <v>981</v>
      </c>
      <c r="I27" s="163"/>
      <c r="J27" s="163">
        <v>28.8</v>
      </c>
      <c r="K27" s="163">
        <v>15</v>
      </c>
      <c r="L27" s="164" t="s">
        <v>1028</v>
      </c>
      <c r="M27" s="163">
        <v>102</v>
      </c>
      <c r="N27" s="163">
        <v>103</v>
      </c>
      <c r="O27" s="166" t="s">
        <v>983</v>
      </c>
    </row>
    <row r="28" spans="1:15" ht="15.6">
      <c r="A28" s="86" t="s">
        <v>305</v>
      </c>
      <c r="B28" s="163">
        <v>148</v>
      </c>
      <c r="C28" s="163">
        <v>7</v>
      </c>
      <c r="D28" s="163">
        <v>93</v>
      </c>
      <c r="E28" s="163">
        <v>61.5</v>
      </c>
      <c r="F28" s="163">
        <v>1.2</v>
      </c>
      <c r="G28" s="164" t="s">
        <v>955</v>
      </c>
      <c r="H28" s="165" t="s">
        <v>981</v>
      </c>
      <c r="I28" s="163"/>
      <c r="J28" s="163">
        <v>37.200000000000003</v>
      </c>
      <c r="K28" s="163">
        <v>19.399999999999999</v>
      </c>
      <c r="L28" s="164" t="s">
        <v>1029</v>
      </c>
      <c r="M28" s="163">
        <v>121</v>
      </c>
      <c r="N28" s="163">
        <v>138</v>
      </c>
      <c r="O28" s="164" t="s">
        <v>1030</v>
      </c>
    </row>
    <row r="29" spans="1:15" ht="15.6">
      <c r="A29" s="86" t="s">
        <v>316</v>
      </c>
      <c r="B29" s="163">
        <v>144</v>
      </c>
      <c r="C29" s="163">
        <v>6</v>
      </c>
      <c r="D29" s="163">
        <v>35</v>
      </c>
      <c r="E29" s="163">
        <v>57.8</v>
      </c>
      <c r="F29" s="163">
        <v>-2.1</v>
      </c>
      <c r="G29" s="164" t="s">
        <v>1031</v>
      </c>
      <c r="H29" s="165" t="s">
        <v>981</v>
      </c>
      <c r="I29" s="163"/>
      <c r="J29" s="163">
        <v>41.1</v>
      </c>
      <c r="K29" s="163">
        <v>20</v>
      </c>
      <c r="L29" s="164" t="s">
        <v>1032</v>
      </c>
      <c r="M29" s="163">
        <v>124</v>
      </c>
      <c r="N29" s="163">
        <v>136</v>
      </c>
      <c r="O29" s="163"/>
    </row>
    <row r="30" spans="1:15" ht="15.6">
      <c r="A30" s="86" t="s">
        <v>320</v>
      </c>
      <c r="B30" s="163">
        <v>131</v>
      </c>
      <c r="C30" s="163">
        <v>18</v>
      </c>
      <c r="D30" s="163">
        <v>19</v>
      </c>
      <c r="E30" s="163">
        <v>54.7</v>
      </c>
      <c r="F30" s="163">
        <v>-13</v>
      </c>
      <c r="G30" s="164" t="s">
        <v>959</v>
      </c>
      <c r="H30" s="165" t="s">
        <v>981</v>
      </c>
      <c r="I30" s="163"/>
      <c r="J30" s="163">
        <v>48.3</v>
      </c>
      <c r="K30" s="163">
        <v>15.3</v>
      </c>
      <c r="L30" s="164" t="s">
        <v>1033</v>
      </c>
      <c r="M30" s="163">
        <v>94</v>
      </c>
      <c r="N30" s="163">
        <v>111</v>
      </c>
      <c r="O30" s="163"/>
    </row>
    <row r="31" spans="1:15" ht="15.6">
      <c r="A31" s="86" t="s">
        <v>1034</v>
      </c>
      <c r="B31" s="163">
        <v>118</v>
      </c>
      <c r="C31" s="163">
        <v>-7</v>
      </c>
      <c r="D31" s="163">
        <v>68</v>
      </c>
      <c r="E31" s="163">
        <v>51.3</v>
      </c>
      <c r="F31" s="163">
        <v>-8.5</v>
      </c>
      <c r="G31" s="164" t="s">
        <v>1035</v>
      </c>
      <c r="H31" s="165" t="s">
        <v>981</v>
      </c>
      <c r="I31" s="163"/>
      <c r="J31" s="163">
        <v>40.200000000000003</v>
      </c>
      <c r="K31" s="163">
        <v>11.6</v>
      </c>
      <c r="L31" s="164" t="s">
        <v>1036</v>
      </c>
      <c r="M31" s="163">
        <v>133</v>
      </c>
      <c r="N31" s="163">
        <v>127</v>
      </c>
      <c r="O31" s="166" t="s">
        <v>1037</v>
      </c>
    </row>
    <row r="32" spans="1:15" ht="15.75" customHeight="1">
      <c r="A32" s="164" t="s">
        <v>1038</v>
      </c>
      <c r="B32" s="163">
        <v>207</v>
      </c>
      <c r="C32" s="163">
        <v>15</v>
      </c>
      <c r="D32" s="163">
        <v>36</v>
      </c>
      <c r="E32" s="163">
        <v>79.900000000000006</v>
      </c>
      <c r="F32" s="163">
        <v>5.6</v>
      </c>
      <c r="G32" s="163"/>
      <c r="H32" s="163"/>
      <c r="I32" s="163"/>
      <c r="J32" s="163"/>
      <c r="K32" s="163"/>
      <c r="L32" s="163"/>
      <c r="M32" s="163"/>
      <c r="N32" s="163"/>
      <c r="O32" s="163"/>
    </row>
    <row r="33" spans="1:15" ht="15.75" customHeight="1">
      <c r="A33" s="164" t="s">
        <v>1039</v>
      </c>
      <c r="B33" s="164"/>
      <c r="C33" s="164"/>
      <c r="D33" s="164"/>
      <c r="E33" s="164"/>
      <c r="F33" s="164"/>
      <c r="G33" s="164"/>
      <c r="H33" s="164"/>
      <c r="I33" s="164"/>
      <c r="J33" s="164"/>
      <c r="K33" s="164"/>
      <c r="L33" s="164"/>
      <c r="M33" s="164"/>
      <c r="N33" s="164"/>
      <c r="O33" s="164"/>
    </row>
    <row r="34" spans="1:15" ht="18.75" customHeight="1">
      <c r="A34" s="168" t="s">
        <v>1040</v>
      </c>
      <c r="B34" s="168"/>
      <c r="C34" s="168"/>
      <c r="D34" s="168"/>
      <c r="E34" s="168"/>
      <c r="F34" s="168"/>
      <c r="G34" s="168"/>
      <c r="H34" s="168"/>
      <c r="I34" s="168"/>
      <c r="J34" s="168"/>
      <c r="K34" s="168"/>
      <c r="L34" s="168"/>
      <c r="M34" s="168"/>
      <c r="N34" s="168"/>
      <c r="O34" s="168"/>
    </row>
  </sheetData>
  <hyperlinks>
    <hyperlink ref="O4" r:id="rId1" tooltip="view company information" display="http://markets2.forbes.com/rpt/Stock_delay_report.asp?Symbol=SPLS"/>
    <hyperlink ref="O5" r:id="rId2" tooltip="view company information" display="http://markets2.forbes.com/rpt/Stock_delay_report.asp?Symbol=UAL"/>
    <hyperlink ref="O9" r:id="rId3" tooltip="view company information" display="http://markets2.forbes.com/rpt/Stock_delay_report.asp?Symbol=FTU"/>
    <hyperlink ref="O10" r:id="rId4" tooltip="view company information" display="http://markets2.forbes.com/rpt/Stock_delay_report.asp?Symbol=CNC"/>
    <hyperlink ref="O11" r:id="rId5" tooltip="view company information" display="http://markets2.forbes.com/rpt/Stock_delay_report.asp?Symbol=DAL"/>
    <hyperlink ref="O12" r:id="rId6" tooltip="view company information" display="http://markets2.forbes.com/rpt/Stock_delay_report.asp?Symbol=AMR"/>
    <hyperlink ref="O13" r:id="rId7" tooltip="view company information" display="http://markets2.forbes.com/rpt/Stock_delay_report.asp?Symbol=FBF"/>
    <hyperlink ref="O14" r:id="rId8" tooltip="view company information" display="http://markets2.forbes.com/rpt/Stock_delay_report.asp?Symbol=WCOM"/>
    <hyperlink ref="O15" r:id="rId9" tooltip="view company information" display="http://markets2.forbes.com/rpt/Stock_delay_report.asp?Symbol=CPQ"/>
    <hyperlink ref="O17" r:id="rId10" tooltip="view company information" display="http://markets2.forbes.com/rpt/Stock_delay_report.asp?Symbol=KEY"/>
    <hyperlink ref="O20" r:id="rId11" tooltip="view company information" display="http://markets2.forbes.com/rpt/Stock_delay_report.asp?Symbol=CAL"/>
    <hyperlink ref="O21" r:id="rId12" tooltip="view company information" display="http://markets2.forbes.com/rpt/Stock_delay_report.asp?Symbol=BP"/>
    <hyperlink ref="O22" r:id="rId13" tooltip="view company information" display="http://markets2.forbes.com/rpt/Stock_delay_report.asp?Symbol=PEP"/>
    <hyperlink ref="O23" r:id="rId14" tooltip="view company information" display="http://markets2.forbes.com/rpt/Stock_delay_report.asp?Symbol=TGT"/>
    <hyperlink ref="O26" r:id="rId15" tooltip="view company information" display="http://markets2.forbes.com/rpt/Stock_delay_report.asp?Symbol=TWE"/>
    <hyperlink ref="O27" r:id="rId16" tooltip="view company information" display="http://markets2.forbes.com/rpt/Stock_delay_report.asp?Symbol=SPLS"/>
    <hyperlink ref="O31" r:id="rId17" tooltip="view company information" display="http://markets2.forbes.com/rpt/Stock_delay_report.asp?Symbol=GM"/>
  </hyperlinks>
  <pageMargins left="0.75" right="0.75" top="1" bottom="1" header="0.5" footer="0.5"/>
  <drawing r:id="rId18"/>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defaultColWidth="8.796875" defaultRowHeight="13.2"/>
  <cols>
    <col min="1" max="1" width="9.19921875" style="150" customWidth="1"/>
    <col min="2" max="2" width="25.296875" style="150" customWidth="1"/>
    <col min="3" max="3" width="11" style="150" customWidth="1"/>
    <col min="4" max="8" width="9.19921875" style="150" customWidth="1"/>
    <col min="9" max="10" width="9.19921875" style="151" customWidth="1"/>
    <col min="11" max="16384" width="8.796875" style="86"/>
  </cols>
  <sheetData>
    <row r="1" spans="1:11">
      <c r="A1" s="150" t="s">
        <v>919</v>
      </c>
    </row>
    <row r="3" spans="1:11">
      <c r="A3" s="152" t="s">
        <v>887</v>
      </c>
      <c r="B3" s="152" t="s">
        <v>19</v>
      </c>
      <c r="C3" s="152" t="s">
        <v>920</v>
      </c>
      <c r="D3" s="152" t="s">
        <v>921</v>
      </c>
      <c r="E3" s="152" t="s">
        <v>922</v>
      </c>
      <c r="F3" s="152" t="s">
        <v>923</v>
      </c>
      <c r="G3" s="152" t="s">
        <v>924</v>
      </c>
      <c r="H3" s="152" t="s">
        <v>925</v>
      </c>
    </row>
    <row r="4" spans="1:11">
      <c r="A4" s="152"/>
      <c r="B4" s="152" t="s">
        <v>888</v>
      </c>
      <c r="C4" s="152"/>
      <c r="D4" s="152" t="s">
        <v>926</v>
      </c>
      <c r="E4" s="152" t="s">
        <v>927</v>
      </c>
      <c r="F4" s="152" t="s">
        <v>928</v>
      </c>
      <c r="G4" s="152" t="s">
        <v>929</v>
      </c>
      <c r="H4" s="152"/>
    </row>
    <row r="5" spans="1:11">
      <c r="A5" s="152"/>
      <c r="B5" s="152" t="s">
        <v>889</v>
      </c>
      <c r="C5" s="152"/>
      <c r="D5" s="152" t="s">
        <v>930</v>
      </c>
      <c r="F5" s="152" t="s">
        <v>927</v>
      </c>
      <c r="H5" s="152"/>
    </row>
    <row r="6" spans="1:11">
      <c r="A6" s="153">
        <v>1</v>
      </c>
      <c r="B6" s="154" t="s">
        <v>890</v>
      </c>
      <c r="C6" s="155">
        <v>334</v>
      </c>
      <c r="D6" s="156">
        <v>0.13</v>
      </c>
      <c r="E6" s="157">
        <v>92.9</v>
      </c>
      <c r="F6" s="157">
        <v>4</v>
      </c>
      <c r="G6" s="156">
        <v>0.49</v>
      </c>
      <c r="H6" s="158" t="s">
        <v>931</v>
      </c>
    </row>
    <row r="7" spans="1:11">
      <c r="A7" s="153">
        <v>2</v>
      </c>
      <c r="B7" s="154" t="s">
        <v>891</v>
      </c>
      <c r="C7" s="159">
        <v>307</v>
      </c>
      <c r="D7" s="159">
        <v>1</v>
      </c>
      <c r="E7" s="159">
        <v>66.8</v>
      </c>
      <c r="F7" s="159">
        <v>20.399999999999999</v>
      </c>
      <c r="G7" s="159">
        <v>10</v>
      </c>
      <c r="H7" s="158" t="s">
        <v>932</v>
      </c>
    </row>
    <row r="8" spans="1:11">
      <c r="A8" s="153">
        <v>3</v>
      </c>
      <c r="B8" s="154" t="s">
        <v>892</v>
      </c>
      <c r="C8" s="159">
        <v>282</v>
      </c>
      <c r="D8" s="159">
        <v>5</v>
      </c>
      <c r="E8" s="159">
        <v>58.7</v>
      </c>
      <c r="F8" s="159">
        <v>-0.9</v>
      </c>
      <c r="G8" s="159">
        <v>56</v>
      </c>
      <c r="H8" s="158" t="s">
        <v>933</v>
      </c>
    </row>
    <row r="9" spans="1:11">
      <c r="A9" s="153">
        <v>4</v>
      </c>
      <c r="B9" s="154" t="s">
        <v>893</v>
      </c>
      <c r="C9" s="159">
        <v>257</v>
      </c>
      <c r="D9" s="159">
        <v>5</v>
      </c>
      <c r="E9" s="159">
        <v>57.1</v>
      </c>
      <c r="F9" s="159">
        <v>-13.5</v>
      </c>
      <c r="G9" s="159">
        <v>58</v>
      </c>
      <c r="H9" s="158" t="s">
        <v>934</v>
      </c>
    </row>
    <row r="10" spans="1:11">
      <c r="A10" s="153">
        <v>5</v>
      </c>
      <c r="B10" s="154" t="s">
        <v>894</v>
      </c>
      <c r="C10" s="159">
        <v>239</v>
      </c>
      <c r="D10" s="159">
        <v>2</v>
      </c>
      <c r="E10" s="159">
        <v>58.3</v>
      </c>
      <c r="F10" s="159">
        <v>5.8</v>
      </c>
      <c r="G10" s="159">
        <v>23</v>
      </c>
      <c r="H10" s="158" t="s">
        <v>935</v>
      </c>
    </row>
    <row r="11" spans="1:11">
      <c r="A11" s="153">
        <v>6</v>
      </c>
      <c r="B11" s="154" t="s">
        <v>895</v>
      </c>
      <c r="C11" s="159">
        <v>231</v>
      </c>
      <c r="D11" s="159">
        <v>18</v>
      </c>
      <c r="E11" s="159">
        <v>57.7</v>
      </c>
      <c r="F11" s="159">
        <v>1.8</v>
      </c>
      <c r="G11" s="159">
        <v>30</v>
      </c>
      <c r="H11" s="158" t="s">
        <v>936</v>
      </c>
    </row>
    <row r="12" spans="1:11">
      <c r="A12" s="153">
        <v>7</v>
      </c>
      <c r="B12" s="154" t="s">
        <v>896</v>
      </c>
      <c r="C12" s="159">
        <v>226</v>
      </c>
      <c r="D12" s="159">
        <v>10</v>
      </c>
      <c r="E12" s="159">
        <v>51.3</v>
      </c>
      <c r="F12" s="159">
        <v>-1.7</v>
      </c>
      <c r="G12" s="159">
        <v>0</v>
      </c>
      <c r="H12" s="158" t="s">
        <v>937</v>
      </c>
    </row>
    <row r="13" spans="1:11">
      <c r="A13" s="153">
        <v>8</v>
      </c>
      <c r="B13" s="154" t="s">
        <v>897</v>
      </c>
      <c r="C13" s="159">
        <v>215</v>
      </c>
      <c r="D13" s="159">
        <v>7</v>
      </c>
      <c r="E13" s="159">
        <v>47.7</v>
      </c>
      <c r="F13" s="159">
        <v>-0.7</v>
      </c>
      <c r="G13" s="159">
        <v>22</v>
      </c>
      <c r="H13" s="158" t="s">
        <v>938</v>
      </c>
      <c r="K13" s="86" t="s">
        <v>939</v>
      </c>
    </row>
    <row r="14" spans="1:11">
      <c r="A14" s="153">
        <v>9</v>
      </c>
      <c r="B14" s="154" t="s">
        <v>898</v>
      </c>
      <c r="C14" s="159">
        <v>209</v>
      </c>
      <c r="D14" s="159">
        <v>1</v>
      </c>
      <c r="E14" s="159">
        <v>48.6</v>
      </c>
      <c r="F14" s="159">
        <v>-2.8</v>
      </c>
      <c r="G14" s="159">
        <v>53</v>
      </c>
      <c r="H14" s="158" t="s">
        <v>940</v>
      </c>
    </row>
    <row r="15" spans="1:11">
      <c r="A15" s="153">
        <v>10</v>
      </c>
      <c r="B15" s="154" t="s">
        <v>899</v>
      </c>
      <c r="C15" s="159">
        <v>187</v>
      </c>
      <c r="D15" s="159">
        <v>6</v>
      </c>
      <c r="E15" s="159">
        <v>41.5</v>
      </c>
      <c r="F15" s="159">
        <v>2.2999999999999998</v>
      </c>
      <c r="G15" s="159">
        <v>47</v>
      </c>
      <c r="H15" s="158" t="s">
        <v>941</v>
      </c>
    </row>
    <row r="16" spans="1:11">
      <c r="A16" s="153">
        <v>11</v>
      </c>
      <c r="B16" s="154" t="s">
        <v>900</v>
      </c>
      <c r="C16" s="159">
        <v>183</v>
      </c>
      <c r="D16" s="159">
        <v>8</v>
      </c>
      <c r="E16" s="159">
        <v>43.6</v>
      </c>
      <c r="F16" s="159">
        <v>-2.2999999999999998</v>
      </c>
      <c r="G16" s="159">
        <v>40</v>
      </c>
      <c r="H16" s="158" t="s">
        <v>942</v>
      </c>
    </row>
    <row r="17" spans="1:8">
      <c r="A17" s="153">
        <v>12</v>
      </c>
      <c r="B17" s="154" t="s">
        <v>901</v>
      </c>
      <c r="C17" s="159">
        <v>178</v>
      </c>
      <c r="D17" s="159">
        <v>17</v>
      </c>
      <c r="E17" s="159">
        <v>34.200000000000003</v>
      </c>
      <c r="F17" s="159">
        <v>-19.399999999999999</v>
      </c>
      <c r="G17" s="159">
        <v>32</v>
      </c>
      <c r="H17" s="158" t="s">
        <v>943</v>
      </c>
    </row>
    <row r="18" spans="1:8">
      <c r="A18" s="153">
        <v>13</v>
      </c>
      <c r="B18" s="154" t="s">
        <v>902</v>
      </c>
      <c r="C18" s="159">
        <v>170</v>
      </c>
      <c r="D18" s="159">
        <v>6</v>
      </c>
      <c r="E18" s="159">
        <v>37.799999999999997</v>
      </c>
      <c r="F18" s="159">
        <v>-0.1</v>
      </c>
      <c r="G18" s="159">
        <v>0</v>
      </c>
      <c r="H18" s="158" t="s">
        <v>944</v>
      </c>
    </row>
    <row r="19" spans="1:8">
      <c r="A19" s="153">
        <v>14</v>
      </c>
      <c r="B19" s="154" t="s">
        <v>903</v>
      </c>
      <c r="C19" s="159">
        <v>169</v>
      </c>
      <c r="D19" s="159">
        <v>39</v>
      </c>
      <c r="E19" s="159">
        <v>42.3</v>
      </c>
      <c r="F19" s="159">
        <v>-6.7</v>
      </c>
      <c r="G19" s="159">
        <v>15</v>
      </c>
      <c r="H19" s="158" t="s">
        <v>945</v>
      </c>
    </row>
    <row r="20" spans="1:8">
      <c r="A20" s="153">
        <v>15</v>
      </c>
      <c r="B20" s="154" t="s">
        <v>904</v>
      </c>
      <c r="C20" s="159">
        <v>168</v>
      </c>
      <c r="D20" s="159">
        <v>1</v>
      </c>
      <c r="E20" s="159">
        <v>44.3</v>
      </c>
      <c r="F20" s="159">
        <v>-3.6</v>
      </c>
      <c r="G20" s="159">
        <v>24</v>
      </c>
      <c r="H20" s="158" t="s">
        <v>946</v>
      </c>
    </row>
    <row r="21" spans="1:8">
      <c r="A21" s="153">
        <v>16</v>
      </c>
      <c r="B21" s="154" t="s">
        <v>905</v>
      </c>
      <c r="C21" s="159">
        <v>166</v>
      </c>
      <c r="D21" s="159">
        <v>6</v>
      </c>
      <c r="E21" s="159">
        <v>38.6</v>
      </c>
      <c r="F21" s="159">
        <v>-8.6</v>
      </c>
      <c r="G21" s="159">
        <v>12</v>
      </c>
      <c r="H21" s="158" t="s">
        <v>947</v>
      </c>
    </row>
    <row r="22" spans="1:8">
      <c r="A22" s="153">
        <v>17</v>
      </c>
      <c r="B22" s="154" t="s">
        <v>906</v>
      </c>
      <c r="C22" s="159">
        <v>162</v>
      </c>
      <c r="D22" s="159">
        <v>12</v>
      </c>
      <c r="E22" s="159">
        <v>33.1</v>
      </c>
      <c r="F22" s="159">
        <v>-20.7</v>
      </c>
      <c r="G22" s="159">
        <v>114</v>
      </c>
      <c r="H22" s="158" t="s">
        <v>948</v>
      </c>
    </row>
    <row r="23" spans="1:8">
      <c r="A23" s="153">
        <v>18</v>
      </c>
      <c r="B23" s="154" t="s">
        <v>907</v>
      </c>
      <c r="C23" s="159">
        <v>159</v>
      </c>
      <c r="D23" s="159">
        <v>19</v>
      </c>
      <c r="E23" s="159">
        <v>37.9</v>
      </c>
      <c r="F23" s="159">
        <v>-9.1</v>
      </c>
      <c r="G23" s="159">
        <v>35</v>
      </c>
      <c r="H23" s="158" t="s">
        <v>949</v>
      </c>
    </row>
    <row r="24" spans="1:8">
      <c r="A24" s="153">
        <v>19</v>
      </c>
      <c r="B24" s="154" t="s">
        <v>908</v>
      </c>
      <c r="C24" s="159">
        <v>151</v>
      </c>
      <c r="D24" s="159">
        <v>27</v>
      </c>
      <c r="E24" s="159">
        <v>34.299999999999997</v>
      </c>
      <c r="F24" s="159">
        <v>-12.5</v>
      </c>
      <c r="G24" s="159">
        <v>43</v>
      </c>
      <c r="H24" s="158" t="s">
        <v>950</v>
      </c>
    </row>
    <row r="25" spans="1:8">
      <c r="A25" s="153">
        <v>20</v>
      </c>
      <c r="B25" s="154" t="s">
        <v>909</v>
      </c>
      <c r="C25" s="159">
        <v>150</v>
      </c>
      <c r="D25" s="159">
        <v>7</v>
      </c>
      <c r="E25" s="159">
        <v>28.8</v>
      </c>
      <c r="F25" s="159">
        <v>-19.3</v>
      </c>
      <c r="G25" s="159">
        <v>44</v>
      </c>
      <c r="H25" s="158" t="s">
        <v>951</v>
      </c>
    </row>
    <row r="26" spans="1:8">
      <c r="A26" s="153">
        <v>21</v>
      </c>
      <c r="B26" s="154" t="s">
        <v>910</v>
      </c>
      <c r="C26" s="159">
        <v>146</v>
      </c>
      <c r="D26" s="159">
        <v>23</v>
      </c>
      <c r="E26" s="159">
        <v>41.7</v>
      </c>
      <c r="F26" s="159">
        <v>4.2</v>
      </c>
      <c r="G26" s="159">
        <v>14</v>
      </c>
      <c r="H26" s="158" t="s">
        <v>952</v>
      </c>
    </row>
    <row r="27" spans="1:8">
      <c r="A27" s="153">
        <v>22</v>
      </c>
      <c r="B27" s="154" t="s">
        <v>911</v>
      </c>
      <c r="C27" s="159">
        <v>141</v>
      </c>
      <c r="D27" s="159">
        <v>18</v>
      </c>
      <c r="E27" s="159">
        <v>26.1</v>
      </c>
      <c r="F27" s="159">
        <v>-14.7</v>
      </c>
      <c r="G27" s="159">
        <v>76</v>
      </c>
      <c r="H27" s="158" t="s">
        <v>953</v>
      </c>
    </row>
    <row r="28" spans="1:8">
      <c r="A28" s="153">
        <v>23</v>
      </c>
      <c r="B28" s="154" t="s">
        <v>912</v>
      </c>
      <c r="C28" s="159">
        <v>140</v>
      </c>
      <c r="D28" s="159">
        <v>8</v>
      </c>
      <c r="E28" s="159">
        <v>31.8</v>
      </c>
      <c r="F28" s="159">
        <v>-7.7</v>
      </c>
      <c r="G28" s="159">
        <v>80</v>
      </c>
      <c r="H28" s="158" t="s">
        <v>954</v>
      </c>
    </row>
    <row r="29" spans="1:8">
      <c r="A29" s="153">
        <v>24</v>
      </c>
      <c r="B29" s="154" t="s">
        <v>913</v>
      </c>
      <c r="C29" s="159">
        <v>138</v>
      </c>
      <c r="D29" s="159">
        <v>14</v>
      </c>
      <c r="E29" s="159">
        <v>33.6</v>
      </c>
      <c r="F29" s="159">
        <v>-8</v>
      </c>
      <c r="G29" s="159">
        <v>96</v>
      </c>
      <c r="H29" s="158" t="s">
        <v>955</v>
      </c>
    </row>
    <row r="30" spans="1:8">
      <c r="A30" s="153">
        <v>25</v>
      </c>
      <c r="B30" s="154" t="s">
        <v>914</v>
      </c>
      <c r="C30" s="159">
        <v>136</v>
      </c>
      <c r="D30" s="159">
        <v>10</v>
      </c>
      <c r="E30" s="159">
        <v>30.3</v>
      </c>
      <c r="F30" s="159">
        <v>-2.2000000000000002</v>
      </c>
      <c r="G30" s="159">
        <v>37</v>
      </c>
      <c r="H30" s="158" t="s">
        <v>956</v>
      </c>
    </row>
    <row r="31" spans="1:8">
      <c r="A31" s="153">
        <v>26</v>
      </c>
      <c r="B31" s="154" t="s">
        <v>915</v>
      </c>
      <c r="C31" s="159">
        <v>127</v>
      </c>
      <c r="D31" s="159">
        <v>-5</v>
      </c>
      <c r="E31" s="159">
        <v>28.2</v>
      </c>
      <c r="F31" s="159">
        <v>-12.4</v>
      </c>
      <c r="G31" s="159">
        <v>47</v>
      </c>
      <c r="H31" s="158" t="s">
        <v>957</v>
      </c>
    </row>
    <row r="32" spans="1:8">
      <c r="A32" s="153">
        <v>27</v>
      </c>
      <c r="B32" s="154" t="s">
        <v>916</v>
      </c>
      <c r="C32" s="159">
        <v>124</v>
      </c>
      <c r="D32" s="159">
        <v>13</v>
      </c>
      <c r="E32" s="159">
        <v>23.8</v>
      </c>
      <c r="F32" s="159">
        <v>-9.8000000000000007</v>
      </c>
      <c r="G32" s="159">
        <v>56</v>
      </c>
      <c r="H32" s="158" t="s">
        <v>958</v>
      </c>
    </row>
    <row r="33" spans="1:8">
      <c r="A33" s="153">
        <v>28</v>
      </c>
      <c r="B33" s="154" t="s">
        <v>917</v>
      </c>
      <c r="C33" s="159">
        <v>111</v>
      </c>
      <c r="D33" s="159">
        <v>18</v>
      </c>
      <c r="E33" s="159">
        <v>25.8</v>
      </c>
      <c r="F33" s="159">
        <v>-14.9</v>
      </c>
      <c r="G33" s="159">
        <v>23</v>
      </c>
      <c r="H33" s="158" t="s">
        <v>959</v>
      </c>
    </row>
    <row r="34" spans="1:8">
      <c r="A34" s="153">
        <v>29</v>
      </c>
      <c r="B34" s="154" t="s">
        <v>918</v>
      </c>
      <c r="C34" s="159">
        <v>103</v>
      </c>
      <c r="D34" s="159">
        <v>1</v>
      </c>
      <c r="E34" s="159">
        <v>23</v>
      </c>
      <c r="F34" s="159">
        <v>-13.2</v>
      </c>
      <c r="G34" s="159">
        <v>0</v>
      </c>
      <c r="H34" s="158" t="s">
        <v>960</v>
      </c>
    </row>
    <row r="35" spans="1:8" ht="18" customHeight="1">
      <c r="A35" s="154" t="s">
        <v>961</v>
      </c>
      <c r="B35" s="154"/>
      <c r="C35" s="154"/>
      <c r="D35" s="154"/>
      <c r="E35" s="154"/>
      <c r="F35" s="154"/>
      <c r="G35" s="154"/>
      <c r="H35" s="154"/>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workbookViewId="0"/>
  </sheetViews>
  <sheetFormatPr defaultColWidth="11.19921875" defaultRowHeight="15.6"/>
  <cols>
    <col min="1" max="1" width="3.5" customWidth="1"/>
    <col min="2" max="3" width="5" customWidth="1"/>
    <col min="4" max="4" width="5.296875" customWidth="1"/>
    <col min="5" max="5" width="4.5" customWidth="1"/>
    <col min="7" max="7" width="33.69921875" customWidth="1"/>
    <col min="8" max="8" width="14.19921875" bestFit="1" customWidth="1"/>
    <col min="9" max="9" width="14.69921875" bestFit="1" customWidth="1"/>
  </cols>
  <sheetData>
    <row r="1" spans="2:9">
      <c r="B1" t="s">
        <v>293</v>
      </c>
    </row>
    <row r="2" spans="2:9">
      <c r="B2" t="s">
        <v>723</v>
      </c>
    </row>
    <row r="3" spans="2:9">
      <c r="B3" s="96" t="s">
        <v>693</v>
      </c>
    </row>
    <row r="5" spans="2:9">
      <c r="C5" s="37"/>
      <c r="D5" s="37"/>
      <c r="E5" s="37"/>
      <c r="H5" s="136">
        <v>2018</v>
      </c>
      <c r="I5" s="136">
        <v>2017</v>
      </c>
    </row>
    <row r="6" spans="2:9">
      <c r="B6" t="s">
        <v>724</v>
      </c>
    </row>
    <row r="7" spans="2:9">
      <c r="C7" t="s">
        <v>722</v>
      </c>
      <c r="H7" s="36">
        <f>'Income Statement'!G37</f>
        <v>-5232502.5386149865</v>
      </c>
      <c r="I7" s="36">
        <f>'Income Statement'!H37</f>
        <v>-5018971.1211313764</v>
      </c>
    </row>
    <row r="8" spans="2:9">
      <c r="C8" t="s">
        <v>725</v>
      </c>
      <c r="H8" s="36"/>
      <c r="I8" s="36"/>
    </row>
    <row r="9" spans="2:9">
      <c r="D9" t="s">
        <v>726</v>
      </c>
      <c r="H9" s="36"/>
      <c r="I9" s="36"/>
    </row>
    <row r="10" spans="2:9">
      <c r="E10" t="s">
        <v>738</v>
      </c>
      <c r="H10" s="36" t="s">
        <v>48</v>
      </c>
      <c r="I10" s="36" t="s">
        <v>48</v>
      </c>
    </row>
    <row r="11" spans="2:9">
      <c r="E11" t="s">
        <v>727</v>
      </c>
      <c r="H11" s="36" t="str">
        <f>'Balance Sheet'!F14</f>
        <v>-</v>
      </c>
      <c r="I11" s="36" t="str">
        <f>'Balance Sheet'!G14</f>
        <v>-</v>
      </c>
    </row>
    <row r="12" spans="2:9">
      <c r="F12" t="s">
        <v>728</v>
      </c>
      <c r="H12" s="36">
        <f>H7+SUM(H10:H11)</f>
        <v>-5232502.5386149865</v>
      </c>
      <c r="I12" s="36">
        <f>I7+SUM(I10:I11)</f>
        <v>-5018971.1211313764</v>
      </c>
    </row>
    <row r="13" spans="2:9">
      <c r="H13" s="36"/>
      <c r="I13" s="36"/>
    </row>
    <row r="14" spans="2:9">
      <c r="B14" t="s">
        <v>729</v>
      </c>
      <c r="H14" s="36"/>
      <c r="I14" s="36"/>
    </row>
    <row r="15" spans="2:9">
      <c r="F15" t="s">
        <v>730</v>
      </c>
      <c r="H15" s="36" t="s">
        <v>48</v>
      </c>
      <c r="I15" s="36" t="s">
        <v>48</v>
      </c>
    </row>
    <row r="16" spans="2:9">
      <c r="H16" s="36"/>
      <c r="I16" s="36"/>
    </row>
    <row r="17" spans="2:9">
      <c r="B17" t="s">
        <v>731</v>
      </c>
      <c r="H17" s="36"/>
      <c r="I17" s="36"/>
    </row>
    <row r="18" spans="2:9">
      <c r="F18" t="s">
        <v>732</v>
      </c>
      <c r="H18" s="36" t="s">
        <v>48</v>
      </c>
      <c r="I18" s="36" t="s">
        <v>48</v>
      </c>
    </row>
    <row r="19" spans="2:9">
      <c r="H19" s="36"/>
      <c r="I19" s="36"/>
    </row>
    <row r="20" spans="2:9">
      <c r="B20" t="s">
        <v>733</v>
      </c>
      <c r="H20" s="36">
        <f>H12</f>
        <v>-5232502.5386149865</v>
      </c>
      <c r="I20" s="36">
        <f>I12</f>
        <v>-5018971.1211313764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D14" sqref="D14"/>
    </sheetView>
  </sheetViews>
  <sheetFormatPr defaultColWidth="11.19921875" defaultRowHeight="15.6"/>
  <cols>
    <col min="1" max="1" width="21.19921875" bestFit="1" customWidth="1"/>
    <col min="2" max="2" width="18" bestFit="1" customWidth="1"/>
    <col min="3" max="3" width="17.796875" bestFit="1" customWidth="1"/>
    <col min="4" max="4" width="17.69921875" bestFit="1" customWidth="1"/>
    <col min="5" max="12" width="16.296875" bestFit="1" customWidth="1"/>
  </cols>
  <sheetData>
    <row r="1" spans="1:12">
      <c r="A1" s="39"/>
      <c r="B1" s="142">
        <v>2016</v>
      </c>
      <c r="C1" s="142">
        <v>2015</v>
      </c>
      <c r="D1" s="142">
        <v>2014</v>
      </c>
      <c r="E1" s="142">
        <v>2013</v>
      </c>
      <c r="F1" s="142">
        <v>2012</v>
      </c>
      <c r="G1" s="142">
        <v>2011</v>
      </c>
      <c r="H1" s="142">
        <v>2010</v>
      </c>
      <c r="I1" s="142">
        <v>2009</v>
      </c>
      <c r="J1" s="142">
        <v>2008</v>
      </c>
      <c r="K1" s="142">
        <v>2007</v>
      </c>
      <c r="L1" s="142">
        <v>2006</v>
      </c>
    </row>
    <row r="2" spans="1:12">
      <c r="A2" s="39" t="s">
        <v>283</v>
      </c>
      <c r="B2" s="141">
        <v>1245333333.3299999</v>
      </c>
      <c r="C2" s="141">
        <v>1106166666.6700001</v>
      </c>
      <c r="D2" s="141">
        <v>634300000</v>
      </c>
      <c r="E2" s="141">
        <v>509033333.32999998</v>
      </c>
      <c r="F2" s="141">
        <v>392533333.32999998</v>
      </c>
      <c r="G2" s="141">
        <v>368766666.67000002</v>
      </c>
      <c r="H2" s="141">
        <v>367000000</v>
      </c>
      <c r="I2" s="141">
        <v>379466666.67000002</v>
      </c>
      <c r="J2" s="141">
        <v>372466666.67000002</v>
      </c>
      <c r="K2" s="141">
        <v>353200000</v>
      </c>
      <c r="L2" s="141">
        <v>326066666.67000002</v>
      </c>
    </row>
    <row r="3" spans="1:12">
      <c r="A3" s="39" t="s">
        <v>289</v>
      </c>
      <c r="B3" s="140">
        <v>0.13</v>
      </c>
      <c r="C3" s="140">
        <v>0.74</v>
      </c>
      <c r="D3" s="140">
        <v>0.25</v>
      </c>
      <c r="E3" s="140">
        <v>0.3</v>
      </c>
      <c r="F3" s="140">
        <v>0.06</v>
      </c>
      <c r="G3" s="140">
        <v>0</v>
      </c>
      <c r="H3" s="140">
        <v>-0.03</v>
      </c>
      <c r="I3" s="140">
        <v>0.02</v>
      </c>
      <c r="J3" s="140">
        <v>0.05</v>
      </c>
      <c r="K3" s="140">
        <v>0.08</v>
      </c>
      <c r="L3" s="140" t="s">
        <v>782</v>
      </c>
    </row>
    <row r="4" spans="1:12">
      <c r="A4" s="39" t="s">
        <v>290</v>
      </c>
      <c r="B4" s="141">
        <v>2300000000</v>
      </c>
      <c r="C4" s="141">
        <v>2000000000</v>
      </c>
      <c r="D4" s="141">
        <v>1000000000</v>
      </c>
      <c r="E4" s="141">
        <v>800000000</v>
      </c>
      <c r="F4" s="141">
        <v>600000000</v>
      </c>
      <c r="G4" s="141">
        <v>511000000</v>
      </c>
      <c r="H4" s="141">
        <v>511000000</v>
      </c>
      <c r="I4" s="141">
        <v>504000000</v>
      </c>
      <c r="J4" s="141">
        <v>461000000</v>
      </c>
      <c r="K4" s="141">
        <v>461000000</v>
      </c>
      <c r="L4" s="141">
        <v>409000000</v>
      </c>
    </row>
    <row r="5" spans="1:12">
      <c r="A5" s="39" t="s">
        <v>783</v>
      </c>
      <c r="B5" s="46">
        <f>(B4-C4)/C4</f>
        <v>0.15</v>
      </c>
      <c r="C5" s="46">
        <f t="shared" ref="C5:K5" si="0">(C4-D4)/D4</f>
        <v>1</v>
      </c>
      <c r="D5" s="46">
        <f t="shared" si="0"/>
        <v>0.25</v>
      </c>
      <c r="E5" s="46">
        <f t="shared" si="0"/>
        <v>0.33333333333333331</v>
      </c>
      <c r="F5" s="46">
        <f t="shared" si="0"/>
        <v>0.17416829745596868</v>
      </c>
      <c r="G5" s="46">
        <f t="shared" si="0"/>
        <v>0</v>
      </c>
      <c r="H5" s="46">
        <f t="shared" si="0"/>
        <v>1.3888888888888888E-2</v>
      </c>
      <c r="I5" s="46">
        <f t="shared" si="0"/>
        <v>9.3275488069414311E-2</v>
      </c>
      <c r="J5" s="46">
        <f t="shared" si="0"/>
        <v>0</v>
      </c>
      <c r="K5" s="46">
        <f t="shared" si="0"/>
        <v>0.12713936430317849</v>
      </c>
      <c r="L5" s="46" t="s">
        <v>48</v>
      </c>
    </row>
    <row r="7" spans="1:12">
      <c r="A7" s="39" t="s">
        <v>784</v>
      </c>
      <c r="B7" s="46">
        <f>B5-B3</f>
        <v>1.999999999999999E-2</v>
      </c>
      <c r="C7" s="46">
        <f t="shared" ref="C7:J7" si="1">C5-C3</f>
        <v>0.26</v>
      </c>
      <c r="D7" s="46">
        <v>0</v>
      </c>
      <c r="E7" s="46">
        <f t="shared" si="1"/>
        <v>3.3333333333333326E-2</v>
      </c>
      <c r="F7" s="46">
        <f t="shared" si="1"/>
        <v>0.11416829745596868</v>
      </c>
      <c r="G7" s="46">
        <f t="shared" si="1"/>
        <v>0</v>
      </c>
      <c r="H7" s="46">
        <f t="shared" si="1"/>
        <v>4.3888888888888887E-2</v>
      </c>
      <c r="I7" s="46">
        <f t="shared" si="1"/>
        <v>7.3275488069414307E-2</v>
      </c>
      <c r="J7" s="46">
        <f t="shared" si="1"/>
        <v>-0.05</v>
      </c>
      <c r="K7" s="46">
        <f>K5-K3</f>
        <v>4.7139364303178485E-2</v>
      </c>
    </row>
    <row r="8" spans="1:12">
      <c r="A8" s="39" t="s">
        <v>785</v>
      </c>
      <c r="B8">
        <v>2.2349247997001432E-2</v>
      </c>
      <c r="C8">
        <v>-1.7176275557192828E-2</v>
      </c>
      <c r="D8">
        <v>-7.3139513622234682E-3</v>
      </c>
      <c r="E8">
        <v>-1.2860430485988871E-2</v>
      </c>
      <c r="F8">
        <v>1.6979486944151218E-2</v>
      </c>
      <c r="G8">
        <v>5.1435464414957784E-2</v>
      </c>
      <c r="H8">
        <v>-2.2267301976694794E-2</v>
      </c>
      <c r="I8">
        <v>-3.5930322463273816E-2</v>
      </c>
      <c r="J8">
        <v>-1.1909041883875548E-2</v>
      </c>
      <c r="K8">
        <v>5.021710402114396E-2</v>
      </c>
      <c r="L8">
        <v>4.8703227083745811E-2</v>
      </c>
    </row>
    <row r="10" spans="1:12">
      <c r="A10" s="39" t="s">
        <v>784</v>
      </c>
      <c r="B10" s="39" t="s">
        <v>785</v>
      </c>
    </row>
    <row r="11" spans="1:12">
      <c r="A11" s="46">
        <v>1.999999999999999E-2</v>
      </c>
      <c r="B11">
        <v>2.2349247997001432E-2</v>
      </c>
    </row>
    <row r="12" spans="1:12">
      <c r="A12" s="46">
        <v>0.26</v>
      </c>
      <c r="B12">
        <v>-1.7176275557192828E-2</v>
      </c>
    </row>
    <row r="13" spans="1:12">
      <c r="A13" s="46">
        <v>0</v>
      </c>
      <c r="B13">
        <v>-7.3139513622234682E-3</v>
      </c>
    </row>
    <row r="14" spans="1:12">
      <c r="A14" s="46">
        <v>3.3333333333333326E-2</v>
      </c>
      <c r="B14">
        <v>-1.2860430485988871E-2</v>
      </c>
    </row>
    <row r="15" spans="1:12">
      <c r="A15" s="46">
        <v>0.11416829745596868</v>
      </c>
      <c r="B15">
        <v>1.6979486944151218E-2</v>
      </c>
    </row>
    <row r="16" spans="1:12">
      <c r="A16" s="46">
        <v>0</v>
      </c>
      <c r="B16">
        <v>5.1435464414957784E-2</v>
      </c>
    </row>
    <row r="17" spans="1:5">
      <c r="A17" s="46">
        <v>4.3888888888888887E-2</v>
      </c>
      <c r="B17">
        <v>-2.2267301976694794E-2</v>
      </c>
      <c r="E17" s="46"/>
    </row>
    <row r="18" spans="1:5">
      <c r="A18" s="46">
        <v>7.3275488069414307E-2</v>
      </c>
      <c r="B18">
        <v>-3.5930322463273816E-2</v>
      </c>
    </row>
    <row r="19" spans="1:5">
      <c r="A19" s="46">
        <v>-0.05</v>
      </c>
      <c r="B19">
        <v>-1.1909041883875548E-2</v>
      </c>
    </row>
    <row r="20" spans="1:5">
      <c r="A20" s="46">
        <v>4.7139364303178485E-2</v>
      </c>
      <c r="B20">
        <v>5.021710402114396E-2</v>
      </c>
    </row>
    <row r="22" spans="1:5">
      <c r="A22">
        <f>CORREL(A11:A20,B11:B20)</f>
        <v>-0.21460132827200964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88" zoomScaleNormal="88" zoomScalePageLayoutView="88" workbookViewId="0"/>
  </sheetViews>
  <sheetFormatPr defaultColWidth="8.796875" defaultRowHeight="15.6"/>
  <cols>
    <col min="1" max="1" width="2.796875" customWidth="1"/>
    <col min="2" max="2" width="20.69921875" bestFit="1" customWidth="1"/>
    <col min="3" max="4" width="14.19921875" bestFit="1" customWidth="1"/>
    <col min="7" max="7" width="28.5" customWidth="1"/>
    <col min="8" max="8" width="26.5" customWidth="1"/>
    <col min="9" max="9" width="11.19921875" customWidth="1"/>
  </cols>
  <sheetData>
    <row r="1" spans="2:8">
      <c r="B1" s="96" t="s">
        <v>800</v>
      </c>
      <c r="G1" s="339" t="s">
        <v>1095</v>
      </c>
      <c r="H1" s="339"/>
    </row>
    <row r="3" spans="2:8">
      <c r="B3" s="144"/>
      <c r="C3" s="322">
        <v>2017</v>
      </c>
      <c r="D3" s="323">
        <v>2018</v>
      </c>
      <c r="G3" s="334" t="s">
        <v>89</v>
      </c>
      <c r="H3" s="335"/>
    </row>
    <row r="4" spans="2:8">
      <c r="B4" s="182" t="s">
        <v>44</v>
      </c>
      <c r="C4" s="327">
        <f>'Attendance Forecast'!V4</f>
        <v>23744.270490648993</v>
      </c>
      <c r="D4" s="328">
        <f>'Attendance Forecast'!W4</f>
        <v>31159.321734337835</v>
      </c>
      <c r="G4" s="182" t="s">
        <v>90</v>
      </c>
      <c r="H4" s="183">
        <v>287.31</v>
      </c>
    </row>
    <row r="5" spans="2:8">
      <c r="B5" s="182" t="s">
        <v>93</v>
      </c>
      <c r="C5" s="250">
        <f>'Attendance Financials'!H21</f>
        <v>506.04500000000002</v>
      </c>
      <c r="D5" s="272">
        <f>'Attendance Financials'!I21</f>
        <v>525.93000000000006</v>
      </c>
      <c r="G5" s="182" t="s">
        <v>91</v>
      </c>
      <c r="H5" s="183">
        <v>19.885000000000002</v>
      </c>
    </row>
    <row r="6" spans="2:8">
      <c r="B6" s="182" t="s">
        <v>104</v>
      </c>
      <c r="C6" s="250">
        <f>C5/($H$10+$H$11)</f>
        <v>126.51125</v>
      </c>
      <c r="D6" s="272">
        <f>D5/($H$10+$H$11)</f>
        <v>131.48250000000002</v>
      </c>
      <c r="G6" s="182" t="s">
        <v>111</v>
      </c>
      <c r="H6" s="183">
        <v>11</v>
      </c>
    </row>
    <row r="7" spans="2:8">
      <c r="B7" s="130" t="s">
        <v>6</v>
      </c>
      <c r="C7" s="132">
        <f>C6*C4</f>
        <v>3003917.3401101176</v>
      </c>
      <c r="D7" s="133">
        <f>D6*D4</f>
        <v>4096905.5199350747</v>
      </c>
      <c r="G7" s="146" t="s">
        <v>112</v>
      </c>
      <c r="H7" s="184">
        <v>12</v>
      </c>
    </row>
    <row r="8" spans="2:8">
      <c r="B8" s="182" t="s">
        <v>105</v>
      </c>
      <c r="C8" s="250">
        <v>0</v>
      </c>
      <c r="D8" s="272">
        <v>0</v>
      </c>
    </row>
    <row r="9" spans="2:8">
      <c r="B9" s="182" t="s">
        <v>106</v>
      </c>
      <c r="C9" s="250">
        <v>1</v>
      </c>
      <c r="D9" s="272">
        <v>1</v>
      </c>
      <c r="G9" s="336" t="s">
        <v>94</v>
      </c>
      <c r="H9" s="337"/>
    </row>
    <row r="10" spans="2:8">
      <c r="B10" s="182" t="s">
        <v>107</v>
      </c>
      <c r="C10" s="250">
        <v>1</v>
      </c>
      <c r="D10" s="272">
        <v>1</v>
      </c>
      <c r="G10" s="182" t="s">
        <v>95</v>
      </c>
      <c r="H10" s="183">
        <v>2</v>
      </c>
    </row>
    <row r="11" spans="2:8">
      <c r="B11" s="182" t="s">
        <v>108</v>
      </c>
      <c r="C11" s="250">
        <v>1.5</v>
      </c>
      <c r="D11" s="272">
        <v>1.5</v>
      </c>
      <c r="G11" s="182" t="s">
        <v>96</v>
      </c>
      <c r="H11" s="183">
        <v>2</v>
      </c>
    </row>
    <row r="12" spans="2:8">
      <c r="B12" s="182" t="s">
        <v>109</v>
      </c>
      <c r="C12" s="250">
        <v>0</v>
      </c>
      <c r="D12" s="272">
        <v>0</v>
      </c>
      <c r="G12" s="182" t="s">
        <v>97</v>
      </c>
      <c r="H12" s="183">
        <v>4</v>
      </c>
    </row>
    <row r="13" spans="2:8">
      <c r="B13" s="182" t="s">
        <v>110</v>
      </c>
      <c r="C13" s="250">
        <v>3</v>
      </c>
      <c r="D13" s="272">
        <v>3</v>
      </c>
      <c r="G13" s="182" t="s">
        <v>98</v>
      </c>
      <c r="H13" s="183">
        <v>2</v>
      </c>
    </row>
    <row r="14" spans="2:8">
      <c r="B14" s="130" t="s">
        <v>8</v>
      </c>
      <c r="C14" s="132">
        <f>C8*'Attendance Forecast'!V4/$H$10+C9*'Attendance Forecast'!V4+'Attendance Financials'!C10*'Attendance Forecast'!V4/'Attendance Financials'!$H$13+'Attendance Financials'!C11*'Attendance Forecast'!V4+'Attendance Financials'!C12*'Attendance Forecast'!V4/$H$15+'Attendance Financials'!C13*'Attendance Forecast'!V4/'Attendance Financials'!$H$17</f>
        <v>106849.21720792046</v>
      </c>
      <c r="D14" s="133">
        <f>D8*'Attendance Forecast'!W4/$H$10+D9*'Attendance Forecast'!W4+'Attendance Financials'!D10*'Attendance Forecast'!W4/'Attendance Financials'!$H$13+'Attendance Financials'!D11*'Attendance Forecast'!W4+'Attendance Financials'!D12*'Attendance Forecast'!W4/$H$15+'Attendance Financials'!D13*'Attendance Forecast'!W4/'Attendance Financials'!$H$17</f>
        <v>140216.94780452026</v>
      </c>
      <c r="G14" s="182" t="s">
        <v>99</v>
      </c>
      <c r="H14" s="183">
        <v>4</v>
      </c>
    </row>
    <row r="15" spans="2:8">
      <c r="G15" s="182" t="s">
        <v>100</v>
      </c>
      <c r="H15" s="183">
        <v>2</v>
      </c>
    </row>
    <row r="16" spans="2:8">
      <c r="G16" s="182" t="s">
        <v>101</v>
      </c>
      <c r="H16" s="183">
        <v>1</v>
      </c>
    </row>
    <row r="17" spans="7:9">
      <c r="G17" s="146" t="s">
        <v>102</v>
      </c>
      <c r="H17" s="184">
        <v>2</v>
      </c>
    </row>
    <row r="19" spans="7:9">
      <c r="G19" s="185"/>
      <c r="H19" s="338" t="s">
        <v>103</v>
      </c>
      <c r="I19" s="337"/>
    </row>
    <row r="20" spans="7:9">
      <c r="G20" s="182"/>
      <c r="H20" s="149">
        <v>2017</v>
      </c>
      <c r="I20" s="186">
        <v>2018</v>
      </c>
    </row>
    <row r="21" spans="7:9">
      <c r="G21" s="146" t="s">
        <v>810</v>
      </c>
      <c r="H21" s="187">
        <f>'Attendance Financials'!H6*'Attendance Financials'!$H$5+'Attendance Financials'!$H$4</f>
        <v>506.04500000000002</v>
      </c>
      <c r="I21" s="188">
        <f>'Attendance Financials'!H7*'Attendance Financials'!$H$5+'Attendance Financials'!$H$4</f>
        <v>525.93000000000006</v>
      </c>
    </row>
    <row r="22" spans="7:9">
      <c r="H22" s="36"/>
      <c r="I22" s="36"/>
    </row>
  </sheetData>
  <mergeCells count="4">
    <mergeCell ref="G3:H3"/>
    <mergeCell ref="G9:H9"/>
    <mergeCell ref="H19:I19"/>
    <mergeCell ref="G1:H1"/>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zoomScale="68" zoomScaleNormal="68" zoomScalePageLayoutView="68" workbookViewId="0"/>
  </sheetViews>
  <sheetFormatPr defaultColWidth="11.19921875" defaultRowHeight="15.6"/>
  <cols>
    <col min="1" max="1" width="3.19921875" customWidth="1"/>
  </cols>
  <sheetData>
    <row r="1" spans="2:27">
      <c r="B1" s="189" t="s">
        <v>1092</v>
      </c>
    </row>
    <row r="3" spans="2:27">
      <c r="B3" s="17" t="s">
        <v>19</v>
      </c>
      <c r="C3" s="18">
        <v>1992</v>
      </c>
      <c r="D3" s="18">
        <v>1993</v>
      </c>
      <c r="E3" s="18">
        <v>1994</v>
      </c>
      <c r="F3" s="18">
        <v>1995</v>
      </c>
      <c r="G3" s="18">
        <v>1996</v>
      </c>
      <c r="H3" s="18">
        <v>1997</v>
      </c>
      <c r="I3" s="18">
        <v>1998</v>
      </c>
      <c r="J3" s="18">
        <v>1999</v>
      </c>
      <c r="K3" s="18">
        <v>2000</v>
      </c>
      <c r="L3" s="18">
        <v>2001</v>
      </c>
      <c r="M3" s="18">
        <v>2002</v>
      </c>
      <c r="N3" s="18">
        <v>2003</v>
      </c>
      <c r="O3" s="18">
        <v>2004</v>
      </c>
      <c r="P3" s="18">
        <v>2005</v>
      </c>
      <c r="Q3" s="18">
        <v>2006</v>
      </c>
      <c r="R3" s="18">
        <v>2007</v>
      </c>
      <c r="S3" s="18">
        <v>2008</v>
      </c>
      <c r="T3" s="18">
        <v>2009</v>
      </c>
      <c r="U3" s="18">
        <v>2010</v>
      </c>
      <c r="V3" s="18">
        <v>2011</v>
      </c>
      <c r="W3" s="18">
        <v>2012</v>
      </c>
      <c r="X3" s="18">
        <v>2013</v>
      </c>
      <c r="Y3" s="18">
        <v>2014</v>
      </c>
      <c r="Z3" s="18">
        <v>2015</v>
      </c>
      <c r="AA3" s="19">
        <v>2016</v>
      </c>
    </row>
    <row r="4" spans="2:27">
      <c r="B4" s="17" t="s">
        <v>57</v>
      </c>
      <c r="C4" s="21">
        <v>138.30000000000001</v>
      </c>
      <c r="D4" s="21">
        <v>151.54</v>
      </c>
      <c r="E4" s="21">
        <v>153.54</v>
      </c>
      <c r="F4" s="21">
        <v>160.19999999999999</v>
      </c>
      <c r="G4" s="21">
        <v>161.68</v>
      </c>
      <c r="H4" s="21">
        <v>176.44</v>
      </c>
      <c r="I4" s="21">
        <v>168.56</v>
      </c>
      <c r="J4" s="21">
        <v>214.16</v>
      </c>
      <c r="K4" s="21">
        <v>275.5</v>
      </c>
      <c r="L4" s="21">
        <v>259.98</v>
      </c>
      <c r="M4" s="21">
        <v>248.24</v>
      </c>
      <c r="N4" s="22">
        <v>242.47</v>
      </c>
      <c r="O4" s="23">
        <v>242.47</v>
      </c>
      <c r="P4" s="24">
        <v>243.2</v>
      </c>
      <c r="Q4" s="24">
        <v>258.19</v>
      </c>
      <c r="R4" s="25">
        <v>261.2</v>
      </c>
      <c r="S4" s="26">
        <v>244.48</v>
      </c>
      <c r="T4" s="20">
        <v>235.59</v>
      </c>
      <c r="U4" s="27">
        <v>295.13</v>
      </c>
      <c r="V4" s="27">
        <v>235.02</v>
      </c>
      <c r="W4" s="28">
        <v>238.52</v>
      </c>
      <c r="X4">
        <v>233</v>
      </c>
      <c r="Y4">
        <v>240.04</v>
      </c>
      <c r="Z4" s="29">
        <v>245.39</v>
      </c>
    </row>
    <row r="5" spans="2:27">
      <c r="B5" s="17" t="s">
        <v>58</v>
      </c>
      <c r="C5" s="21">
        <v>151.19999999999999</v>
      </c>
      <c r="D5" s="21">
        <v>221.3</v>
      </c>
      <c r="E5" s="21">
        <v>203.3</v>
      </c>
      <c r="F5" s="21">
        <v>215.22</v>
      </c>
      <c r="G5" s="21">
        <v>247.28</v>
      </c>
      <c r="H5" s="21">
        <v>228</v>
      </c>
      <c r="I5" s="21">
        <v>248.28</v>
      </c>
      <c r="J5" s="21">
        <v>282.66000000000003</v>
      </c>
      <c r="K5" s="21">
        <v>285.66000000000003</v>
      </c>
      <c r="L5" s="21">
        <v>273.39999999999998</v>
      </c>
      <c r="M5" s="21">
        <v>286.32</v>
      </c>
      <c r="N5" s="22">
        <v>280.68</v>
      </c>
      <c r="O5" s="23">
        <v>318.08999999999997</v>
      </c>
      <c r="P5" s="24">
        <v>316.70999999999998</v>
      </c>
      <c r="Q5" s="24">
        <v>316.72000000000003</v>
      </c>
      <c r="R5" s="25">
        <v>309.14</v>
      </c>
      <c r="S5" s="26">
        <v>358.72</v>
      </c>
      <c r="T5" s="20">
        <v>389.2</v>
      </c>
      <c r="U5" s="27">
        <v>392.7</v>
      </c>
      <c r="V5" s="27">
        <v>392.7</v>
      </c>
      <c r="W5" s="28">
        <v>392.6</v>
      </c>
      <c r="X5">
        <v>420.84</v>
      </c>
      <c r="Y5">
        <v>434.96</v>
      </c>
      <c r="Z5" s="29">
        <v>444.16</v>
      </c>
    </row>
    <row r="6" spans="2:27">
      <c r="B6" s="17" t="s">
        <v>59</v>
      </c>
      <c r="C6" s="21"/>
      <c r="D6" s="21"/>
      <c r="E6" s="21"/>
      <c r="F6" s="21"/>
      <c r="G6" s="21"/>
      <c r="H6" s="21"/>
      <c r="I6" s="21"/>
      <c r="J6" s="21"/>
      <c r="K6" s="21"/>
      <c r="L6" s="21"/>
      <c r="M6" s="21"/>
      <c r="N6" s="22"/>
      <c r="O6" s="23"/>
      <c r="P6" s="24"/>
      <c r="Q6" s="24"/>
      <c r="R6" s="25"/>
      <c r="S6" s="26"/>
      <c r="T6" s="20"/>
      <c r="U6" s="27"/>
      <c r="V6" s="27"/>
      <c r="W6" s="28"/>
      <c r="X6">
        <v>365.06</v>
      </c>
      <c r="Y6">
        <v>382</v>
      </c>
      <c r="Z6" s="29">
        <v>404.6</v>
      </c>
    </row>
    <row r="7" spans="2:27">
      <c r="B7" s="17" t="s">
        <v>60</v>
      </c>
      <c r="C7" s="21">
        <v>125.26</v>
      </c>
      <c r="D7" s="21">
        <v>134.74</v>
      </c>
      <c r="E7" s="21">
        <v>145.22</v>
      </c>
      <c r="F7" s="21">
        <v>146.22</v>
      </c>
      <c r="G7" s="21">
        <v>165.28</v>
      </c>
      <c r="H7" s="21">
        <v>152.28</v>
      </c>
      <c r="I7" s="21">
        <v>163</v>
      </c>
      <c r="J7" s="21">
        <v>153.47999999999999</v>
      </c>
      <c r="K7" s="21">
        <v>183.16</v>
      </c>
      <c r="L7" s="21">
        <v>183.2</v>
      </c>
      <c r="M7" s="21">
        <v>198.2</v>
      </c>
      <c r="N7" s="22"/>
      <c r="O7" s="23"/>
      <c r="P7" s="24">
        <v>223.96</v>
      </c>
      <c r="Q7" s="24">
        <v>237.03</v>
      </c>
      <c r="R7" s="25">
        <v>182.3</v>
      </c>
      <c r="S7" s="26">
        <v>196.9</v>
      </c>
      <c r="T7" s="20">
        <v>213.51</v>
      </c>
      <c r="U7" s="27">
        <v>213.51</v>
      </c>
      <c r="V7" s="27">
        <v>199.34</v>
      </c>
      <c r="W7" s="28">
        <v>203.06</v>
      </c>
      <c r="X7">
        <v>203.06</v>
      </c>
      <c r="Y7">
        <v>203.06</v>
      </c>
      <c r="Z7" s="29">
        <v>212.4</v>
      </c>
    </row>
    <row r="8" spans="2:27">
      <c r="B8" s="218" t="s">
        <v>1093</v>
      </c>
      <c r="C8" s="21">
        <v>183.1</v>
      </c>
      <c r="D8" s="21">
        <v>197.92</v>
      </c>
      <c r="E8" s="21">
        <v>215.8</v>
      </c>
      <c r="F8" s="21">
        <v>216</v>
      </c>
      <c r="G8" s="21">
        <v>222.5</v>
      </c>
      <c r="H8" s="21">
        <v>251.88</v>
      </c>
      <c r="I8" s="21">
        <v>269.76</v>
      </c>
      <c r="J8" s="21">
        <v>301.42</v>
      </c>
      <c r="K8" s="21">
        <v>306.86</v>
      </c>
      <c r="L8" s="21">
        <v>307.36</v>
      </c>
      <c r="M8" s="21">
        <v>294.48</v>
      </c>
      <c r="N8" s="22">
        <v>288.69</v>
      </c>
      <c r="O8" s="23">
        <v>292.69</v>
      </c>
      <c r="P8" s="24">
        <v>295.18</v>
      </c>
      <c r="Q8" s="24">
        <v>304.14999999999998</v>
      </c>
      <c r="R8" s="219">
        <v>301.49</v>
      </c>
      <c r="S8" s="220">
        <v>335</v>
      </c>
      <c r="T8" s="221">
        <v>344.5</v>
      </c>
      <c r="U8" s="222">
        <v>389</v>
      </c>
      <c r="V8" s="222">
        <v>365</v>
      </c>
      <c r="W8" s="206">
        <v>393.98</v>
      </c>
      <c r="X8" s="179">
        <v>426.6</v>
      </c>
      <c r="Y8" s="179">
        <v>456.6</v>
      </c>
      <c r="Z8" s="223">
        <v>477.32</v>
      </c>
      <c r="AA8" s="179">
        <v>477.32</v>
      </c>
    </row>
    <row r="9" spans="2:27">
      <c r="B9" s="17" t="s">
        <v>61</v>
      </c>
      <c r="C9" s="21">
        <v>133.22</v>
      </c>
      <c r="D9" s="21">
        <v>157.02000000000001</v>
      </c>
      <c r="E9" s="21">
        <v>164.56</v>
      </c>
      <c r="F9" s="21">
        <v>208.36</v>
      </c>
      <c r="G9" s="21">
        <v>193.04</v>
      </c>
      <c r="H9" s="21">
        <v>195.36</v>
      </c>
      <c r="I9" s="21">
        <v>188.12</v>
      </c>
      <c r="J9" s="21">
        <v>222</v>
      </c>
      <c r="K9" s="21">
        <v>221</v>
      </c>
      <c r="L9" s="21">
        <v>239.14</v>
      </c>
      <c r="M9" s="21">
        <v>223.36</v>
      </c>
      <c r="N9" s="22">
        <v>224.06</v>
      </c>
      <c r="O9" s="23">
        <v>230.6</v>
      </c>
      <c r="P9" s="24">
        <v>238.58</v>
      </c>
      <c r="Q9" s="24">
        <v>252.06</v>
      </c>
      <c r="R9" s="25">
        <v>293.58</v>
      </c>
      <c r="S9" s="26">
        <v>317.89999999999998</v>
      </c>
      <c r="T9" s="20">
        <v>293.77999999999997</v>
      </c>
      <c r="U9" s="27">
        <v>293.77999999999997</v>
      </c>
      <c r="V9" s="27">
        <v>288.18</v>
      </c>
      <c r="W9" s="28">
        <v>275.98</v>
      </c>
      <c r="X9">
        <v>287.60000000000002</v>
      </c>
      <c r="Y9">
        <v>271.74</v>
      </c>
      <c r="Z9" s="29">
        <v>271.74</v>
      </c>
    </row>
    <row r="10" spans="2:27">
      <c r="B10" s="17" t="s">
        <v>62</v>
      </c>
      <c r="C10" s="21">
        <v>125.02</v>
      </c>
      <c r="D10" s="21">
        <v>141.69999999999999</v>
      </c>
      <c r="E10" s="21">
        <v>143.19999999999999</v>
      </c>
      <c r="F10" s="21">
        <v>158.63999999999999</v>
      </c>
      <c r="G10" s="21">
        <v>176.76</v>
      </c>
      <c r="H10" s="21">
        <v>172.12</v>
      </c>
      <c r="I10" s="21">
        <v>199.98</v>
      </c>
      <c r="J10" s="21">
        <v>209.36</v>
      </c>
      <c r="K10" s="21">
        <v>238.04</v>
      </c>
      <c r="L10" s="21">
        <v>216.42</v>
      </c>
      <c r="M10" s="21">
        <v>313.56</v>
      </c>
      <c r="N10" s="22">
        <v>288.29000000000002</v>
      </c>
      <c r="O10" s="23">
        <v>299.25</v>
      </c>
      <c r="P10" s="24">
        <v>301.39</v>
      </c>
      <c r="Q10" s="24">
        <v>301.39</v>
      </c>
      <c r="R10" s="25">
        <v>313.95999999999998</v>
      </c>
      <c r="S10" s="26">
        <v>339.23</v>
      </c>
      <c r="T10" s="20">
        <v>344.86</v>
      </c>
      <c r="U10" s="27">
        <v>285.07</v>
      </c>
      <c r="V10" s="27">
        <v>297.77999999999997</v>
      </c>
      <c r="W10" s="28">
        <v>311.77999999999997</v>
      </c>
      <c r="X10">
        <v>321.18</v>
      </c>
      <c r="Y10">
        <v>321.18</v>
      </c>
      <c r="Z10" s="29">
        <v>312.2</v>
      </c>
    </row>
    <row r="11" spans="2:27">
      <c r="B11" s="17" t="s">
        <v>63</v>
      </c>
      <c r="C11" s="21">
        <v>121.72</v>
      </c>
      <c r="D11" s="21">
        <v>117.8</v>
      </c>
      <c r="E11" s="21">
        <v>144.96</v>
      </c>
      <c r="F11" s="21">
        <v>135.96</v>
      </c>
      <c r="G11" s="21">
        <v>166.44</v>
      </c>
      <c r="H11" s="21">
        <v>186.74</v>
      </c>
      <c r="I11" s="21">
        <v>154.26</v>
      </c>
      <c r="J11" s="21">
        <v>192.12</v>
      </c>
      <c r="K11" s="21">
        <v>226.86</v>
      </c>
      <c r="L11" s="21">
        <v>235.44</v>
      </c>
      <c r="M11" s="21">
        <v>235.44</v>
      </c>
      <c r="N11" s="22">
        <v>204.58</v>
      </c>
      <c r="O11" s="23">
        <v>204.58</v>
      </c>
      <c r="P11" s="24">
        <v>215.52</v>
      </c>
      <c r="Q11" s="24">
        <v>229.91</v>
      </c>
      <c r="R11" s="25">
        <v>264.88</v>
      </c>
      <c r="S11" s="26">
        <v>271.16000000000003</v>
      </c>
      <c r="T11" s="20">
        <v>287.7</v>
      </c>
      <c r="U11" s="27">
        <v>287.7</v>
      </c>
      <c r="V11" s="27">
        <v>287.7</v>
      </c>
      <c r="W11" s="28">
        <v>295.7</v>
      </c>
      <c r="X11">
        <v>326.42</v>
      </c>
      <c r="Y11">
        <v>319.10000000000002</v>
      </c>
      <c r="Z11" s="29">
        <v>322.5</v>
      </c>
    </row>
    <row r="12" spans="2:27">
      <c r="B12" s="17" t="s">
        <v>64</v>
      </c>
      <c r="C12" s="21">
        <v>165.28</v>
      </c>
      <c r="D12" s="21">
        <v>178.64</v>
      </c>
      <c r="E12" s="21">
        <v>178.64</v>
      </c>
      <c r="F12" s="21">
        <v>181.64</v>
      </c>
      <c r="G12" s="21">
        <v>178.74</v>
      </c>
      <c r="H12" s="21">
        <v>199.7</v>
      </c>
      <c r="I12" s="21">
        <v>210.46</v>
      </c>
      <c r="J12" s="21">
        <v>192.28</v>
      </c>
      <c r="K12" s="21">
        <v>220.16</v>
      </c>
      <c r="L12" s="21">
        <v>231.16</v>
      </c>
      <c r="M12" s="21">
        <v>198.6</v>
      </c>
      <c r="N12" s="22">
        <v>195.4</v>
      </c>
      <c r="O12" s="23">
        <v>207.4</v>
      </c>
      <c r="P12" s="24">
        <v>241</v>
      </c>
      <c r="Q12" s="24">
        <v>241</v>
      </c>
      <c r="R12" s="25">
        <v>276.93</v>
      </c>
      <c r="S12" s="26">
        <v>282</v>
      </c>
      <c r="T12" s="20">
        <v>284</v>
      </c>
      <c r="U12" s="27">
        <v>274</v>
      </c>
      <c r="V12" s="27">
        <v>265.04000000000002</v>
      </c>
      <c r="W12" s="28">
        <v>257.04000000000002</v>
      </c>
      <c r="X12">
        <v>254.4</v>
      </c>
      <c r="Y12">
        <v>262.39999999999998</v>
      </c>
      <c r="Z12" s="29">
        <v>261.2</v>
      </c>
    </row>
    <row r="13" spans="2:27">
      <c r="B13" s="17" t="s">
        <v>65</v>
      </c>
      <c r="C13" s="21">
        <v>139</v>
      </c>
      <c r="D13" s="21">
        <v>153</v>
      </c>
      <c r="E13" s="21">
        <v>166.96</v>
      </c>
      <c r="F13" s="21">
        <v>179.08</v>
      </c>
      <c r="G13" s="21">
        <v>197.72</v>
      </c>
      <c r="H13" s="21">
        <v>204.08</v>
      </c>
      <c r="I13" s="21">
        <v>200.86</v>
      </c>
      <c r="J13" s="21">
        <v>211.66</v>
      </c>
      <c r="K13" s="21">
        <v>270.89999999999998</v>
      </c>
      <c r="L13" s="21">
        <v>247.16</v>
      </c>
      <c r="M13" s="21">
        <v>242.78</v>
      </c>
      <c r="N13" s="22">
        <v>184.52</v>
      </c>
      <c r="O13" s="23">
        <v>184.52</v>
      </c>
      <c r="P13" s="24">
        <v>189.76</v>
      </c>
      <c r="Q13" s="24">
        <v>174.27</v>
      </c>
      <c r="R13" s="25">
        <v>188.52</v>
      </c>
      <c r="S13" s="26">
        <v>206.52</v>
      </c>
      <c r="T13" s="20">
        <v>267</v>
      </c>
      <c r="U13" s="27">
        <v>261</v>
      </c>
      <c r="V13" s="27">
        <v>247.52</v>
      </c>
      <c r="W13" s="28">
        <v>252.5</v>
      </c>
      <c r="X13">
        <v>260.8</v>
      </c>
      <c r="Y13">
        <v>324.08</v>
      </c>
      <c r="Z13" s="29">
        <v>336.52</v>
      </c>
    </row>
    <row r="14" spans="2:27">
      <c r="B14" s="17" t="s">
        <v>66</v>
      </c>
      <c r="C14" s="21">
        <v>144.34</v>
      </c>
      <c r="D14" s="21">
        <v>149.97999999999999</v>
      </c>
      <c r="E14" s="21">
        <v>164.44</v>
      </c>
      <c r="F14" s="21">
        <v>204.7</v>
      </c>
      <c r="G14" s="21">
        <v>225.96</v>
      </c>
      <c r="H14" s="21">
        <v>227.68</v>
      </c>
      <c r="I14" s="21">
        <v>249.48</v>
      </c>
      <c r="J14" s="21">
        <v>284.2</v>
      </c>
      <c r="K14" s="21">
        <v>309.52</v>
      </c>
      <c r="L14" s="21">
        <v>340.06</v>
      </c>
      <c r="M14" s="21">
        <v>324.8</v>
      </c>
      <c r="N14" s="22">
        <v>280.83999999999997</v>
      </c>
      <c r="O14" s="23">
        <v>330.19</v>
      </c>
      <c r="P14" s="24">
        <v>319.86</v>
      </c>
      <c r="Q14" s="24">
        <v>321.33999999999997</v>
      </c>
      <c r="R14" s="25">
        <v>254.07</v>
      </c>
      <c r="S14" s="26">
        <v>270.94</v>
      </c>
      <c r="T14" s="20">
        <v>279.11</v>
      </c>
      <c r="U14" s="27">
        <v>282</v>
      </c>
      <c r="V14" s="27">
        <v>276.14</v>
      </c>
      <c r="W14" s="28">
        <v>271.45999999999998</v>
      </c>
      <c r="X14">
        <v>299.27999999999997</v>
      </c>
      <c r="Y14">
        <v>336.06</v>
      </c>
      <c r="Z14" s="29">
        <v>369.86</v>
      </c>
    </row>
    <row r="15" spans="2:27">
      <c r="B15" s="17" t="s">
        <v>67</v>
      </c>
      <c r="C15" s="21">
        <v>118.5</v>
      </c>
      <c r="D15" s="21">
        <v>126.02</v>
      </c>
      <c r="E15" s="21">
        <v>133.34</v>
      </c>
      <c r="F15" s="21">
        <v>166.28</v>
      </c>
      <c r="G15" s="21">
        <v>190.16</v>
      </c>
      <c r="H15" s="21">
        <v>201.16</v>
      </c>
      <c r="I15" s="21">
        <v>222</v>
      </c>
      <c r="J15" s="21">
        <v>240.44</v>
      </c>
      <c r="K15" s="21">
        <v>273.56</v>
      </c>
      <c r="L15" s="21">
        <v>289.18</v>
      </c>
      <c r="M15" s="21">
        <v>278.26</v>
      </c>
      <c r="N15" s="22">
        <v>243.33</v>
      </c>
      <c r="O15" s="23">
        <v>250.33</v>
      </c>
      <c r="P15" s="24">
        <v>252.27</v>
      </c>
      <c r="Q15" s="24">
        <v>264.18</v>
      </c>
      <c r="R15" s="25">
        <v>250.57</v>
      </c>
      <c r="S15" s="26">
        <v>250.57</v>
      </c>
      <c r="T15" s="20">
        <v>252.36</v>
      </c>
      <c r="U15" s="27">
        <v>191.07</v>
      </c>
      <c r="V15" s="27">
        <v>187.52</v>
      </c>
      <c r="W15" s="28">
        <v>208.74</v>
      </c>
      <c r="X15">
        <v>212.86</v>
      </c>
      <c r="Y15">
        <v>227.36</v>
      </c>
      <c r="Z15" s="29">
        <v>232.44</v>
      </c>
    </row>
    <row r="16" spans="2:27">
      <c r="B16" s="17" t="s">
        <v>68</v>
      </c>
      <c r="C16" s="21">
        <v>137.6</v>
      </c>
      <c r="D16" s="21">
        <v>163.44</v>
      </c>
      <c r="E16" s="21">
        <v>157.80000000000001</v>
      </c>
      <c r="F16" s="21">
        <v>170</v>
      </c>
      <c r="G16" s="21">
        <v>168.62</v>
      </c>
      <c r="H16" s="21">
        <v>167.74</v>
      </c>
      <c r="I16" s="21">
        <v>179.96</v>
      </c>
      <c r="J16" s="21">
        <v>198</v>
      </c>
      <c r="K16" s="21">
        <v>274.56</v>
      </c>
      <c r="L16" s="21">
        <v>265.74</v>
      </c>
      <c r="M16" s="21">
        <v>260.32</v>
      </c>
      <c r="N16" s="22">
        <v>248.22</v>
      </c>
      <c r="O16" s="23">
        <v>261.10000000000002</v>
      </c>
      <c r="P16" s="24">
        <v>261.10000000000002</v>
      </c>
      <c r="Q16" s="24">
        <v>271.52</v>
      </c>
      <c r="R16" s="25">
        <v>298.95999999999998</v>
      </c>
      <c r="S16" s="26">
        <v>317</v>
      </c>
      <c r="T16" s="20">
        <v>316.5</v>
      </c>
      <c r="U16" s="27">
        <v>308.5</v>
      </c>
      <c r="V16" s="27">
        <v>313.86</v>
      </c>
      <c r="W16" s="28">
        <v>322.88</v>
      </c>
      <c r="X16">
        <v>369.4</v>
      </c>
      <c r="Y16">
        <v>395.2</v>
      </c>
      <c r="Z16" s="29">
        <v>435.72</v>
      </c>
    </row>
    <row r="17" spans="2:26">
      <c r="B17" s="17" t="s">
        <v>69</v>
      </c>
      <c r="C17" s="21">
        <v>257.94</v>
      </c>
      <c r="D17" s="21">
        <v>188.62</v>
      </c>
      <c r="E17" s="21">
        <v>199.86</v>
      </c>
      <c r="F17" s="21">
        <v>202.86</v>
      </c>
      <c r="G17" s="21">
        <v>212.22</v>
      </c>
      <c r="H17" s="21">
        <v>232.56</v>
      </c>
      <c r="I17" s="21">
        <v>250.6</v>
      </c>
      <c r="J17" s="21">
        <v>295.44</v>
      </c>
      <c r="K17" s="21">
        <v>427.56</v>
      </c>
      <c r="L17" s="21">
        <v>446.76</v>
      </c>
      <c r="M17" s="21">
        <v>446.52</v>
      </c>
      <c r="N17" s="22">
        <v>371.74</v>
      </c>
      <c r="O17" s="23">
        <v>387.1</v>
      </c>
      <c r="P17" s="24">
        <v>396.14</v>
      </c>
      <c r="Q17" s="24">
        <v>402.84</v>
      </c>
      <c r="R17" s="25">
        <v>438.52</v>
      </c>
      <c r="S17" s="26">
        <v>453.95</v>
      </c>
      <c r="T17" s="30">
        <v>479.48</v>
      </c>
      <c r="U17" s="31">
        <v>475.48</v>
      </c>
      <c r="V17" s="27">
        <v>488.98</v>
      </c>
      <c r="W17" s="28">
        <v>514</v>
      </c>
      <c r="X17">
        <v>518</v>
      </c>
      <c r="Y17">
        <v>542</v>
      </c>
      <c r="Z17" s="29">
        <v>541</v>
      </c>
    </row>
    <row r="18" spans="2:26">
      <c r="B18" s="17" t="s">
        <v>70</v>
      </c>
      <c r="C18" s="21"/>
      <c r="D18" s="21"/>
      <c r="E18" s="21"/>
      <c r="F18" s="21"/>
      <c r="G18" s="21"/>
      <c r="H18" s="21"/>
      <c r="I18" s="21"/>
      <c r="J18" s="21"/>
      <c r="K18" s="21"/>
      <c r="L18" s="21"/>
      <c r="M18" s="21">
        <v>261</v>
      </c>
      <c r="N18" s="22">
        <v>215.77</v>
      </c>
      <c r="O18" s="23">
        <v>237.38</v>
      </c>
      <c r="P18" s="24">
        <v>248.5</v>
      </c>
      <c r="Q18" s="24">
        <v>222.14</v>
      </c>
      <c r="R18" s="25">
        <v>222.96</v>
      </c>
      <c r="S18" s="26">
        <v>228.28</v>
      </c>
      <c r="T18" s="20">
        <v>182.94</v>
      </c>
      <c r="U18" s="27">
        <v>177.42</v>
      </c>
      <c r="V18" s="27">
        <v>173.72</v>
      </c>
      <c r="W18" s="28">
        <v>192.8</v>
      </c>
      <c r="X18">
        <v>213.96</v>
      </c>
      <c r="Y18">
        <v>212.16</v>
      </c>
      <c r="Z18" s="29">
        <v>223.92</v>
      </c>
    </row>
    <row r="19" spans="2:26">
      <c r="B19" s="17" t="s">
        <v>71</v>
      </c>
      <c r="C19" s="21">
        <v>118.2</v>
      </c>
      <c r="D19" s="21">
        <v>138.19999999999999</v>
      </c>
      <c r="E19" s="21">
        <v>164.88</v>
      </c>
      <c r="F19" s="21">
        <v>161.88</v>
      </c>
      <c r="G19" s="21">
        <v>183.16</v>
      </c>
      <c r="H19" s="21">
        <v>202.64</v>
      </c>
      <c r="I19" s="21">
        <v>223.34</v>
      </c>
      <c r="J19" s="21">
        <v>223.7</v>
      </c>
      <c r="K19" s="21">
        <v>261.27999999999997</v>
      </c>
      <c r="L19" s="21">
        <v>316.27999999999997</v>
      </c>
      <c r="M19" s="21">
        <v>335.92</v>
      </c>
      <c r="N19" s="22">
        <v>299.45999999999998</v>
      </c>
      <c r="O19" s="23">
        <v>278.98</v>
      </c>
      <c r="P19" s="24">
        <v>278.98</v>
      </c>
      <c r="Q19" s="24">
        <v>297.45999999999998</v>
      </c>
      <c r="R19" s="25">
        <v>331.2</v>
      </c>
      <c r="S19" s="26">
        <v>339.2</v>
      </c>
      <c r="T19" s="20">
        <v>352.2</v>
      </c>
      <c r="U19" s="27">
        <v>372.2</v>
      </c>
      <c r="V19" s="27">
        <v>380</v>
      </c>
      <c r="W19" s="28">
        <v>423</v>
      </c>
      <c r="X19">
        <v>445</v>
      </c>
      <c r="Y19">
        <v>472.2</v>
      </c>
      <c r="Z19" s="29">
        <v>468.2</v>
      </c>
    </row>
    <row r="20" spans="2:26">
      <c r="B20" s="17" t="s">
        <v>72</v>
      </c>
      <c r="C20" s="21">
        <v>121.56</v>
      </c>
      <c r="D20" s="21">
        <v>129.08000000000001</v>
      </c>
      <c r="E20" s="21">
        <v>136.36000000000001</v>
      </c>
      <c r="F20" s="21">
        <v>142.74</v>
      </c>
      <c r="G20" s="21">
        <v>156.47999999999999</v>
      </c>
      <c r="H20" s="21">
        <v>163.68</v>
      </c>
      <c r="I20" s="21">
        <v>177.1</v>
      </c>
      <c r="J20" s="21">
        <v>177.74</v>
      </c>
      <c r="K20" s="21">
        <v>201.32</v>
      </c>
      <c r="L20" s="21">
        <v>206.14</v>
      </c>
      <c r="M20" s="21">
        <v>212.28</v>
      </c>
      <c r="N20" s="22">
        <v>234.49</v>
      </c>
      <c r="O20" s="23">
        <v>234.49</v>
      </c>
      <c r="P20" s="24">
        <v>236.82</v>
      </c>
      <c r="Q20" s="24">
        <v>249.1</v>
      </c>
      <c r="R20" s="25">
        <v>262.11</v>
      </c>
      <c r="S20" s="26">
        <v>268.56</v>
      </c>
      <c r="T20" s="20">
        <v>273.42</v>
      </c>
      <c r="U20" s="27">
        <v>265.98</v>
      </c>
      <c r="V20" s="27">
        <v>265.98</v>
      </c>
      <c r="W20" s="28">
        <v>289</v>
      </c>
      <c r="X20">
        <v>313.83999999999997</v>
      </c>
      <c r="Y20">
        <v>309.3</v>
      </c>
      <c r="Z20" s="29">
        <v>325.85000000000002</v>
      </c>
    </row>
    <row r="21" spans="2:26">
      <c r="B21" s="17" t="s">
        <v>73</v>
      </c>
      <c r="C21" s="21">
        <v>121.74</v>
      </c>
      <c r="D21" s="21">
        <v>135.96</v>
      </c>
      <c r="E21" s="21">
        <v>139.96</v>
      </c>
      <c r="F21" s="21">
        <v>167.82</v>
      </c>
      <c r="G21" s="21">
        <v>172.1</v>
      </c>
      <c r="H21" s="21">
        <v>180.52</v>
      </c>
      <c r="I21" s="21">
        <v>194.9</v>
      </c>
      <c r="J21" s="21">
        <v>221.94</v>
      </c>
      <c r="K21" s="21">
        <v>238.82</v>
      </c>
      <c r="L21" s="21">
        <v>225.72</v>
      </c>
      <c r="M21" s="21">
        <v>228.24</v>
      </c>
      <c r="N21" s="22">
        <v>218.11</v>
      </c>
      <c r="O21" s="23">
        <v>219.54</v>
      </c>
      <c r="P21" s="24">
        <v>220.08</v>
      </c>
      <c r="Q21" s="24">
        <v>238.39</v>
      </c>
      <c r="R21" s="25">
        <v>234.94</v>
      </c>
      <c r="S21" s="26">
        <v>231.38</v>
      </c>
      <c r="T21" s="20">
        <v>230.04</v>
      </c>
      <c r="U21" s="27">
        <v>225.5</v>
      </c>
      <c r="V21" s="27">
        <v>221.5</v>
      </c>
      <c r="W21" s="28">
        <v>225.5</v>
      </c>
      <c r="X21">
        <v>261.18</v>
      </c>
      <c r="Y21">
        <v>273.98</v>
      </c>
      <c r="Z21" s="29">
        <v>281.06</v>
      </c>
    </row>
    <row r="22" spans="2:26">
      <c r="B22" s="17" t="s">
        <v>74</v>
      </c>
      <c r="C22" s="21">
        <v>143.80000000000001</v>
      </c>
      <c r="D22" s="21">
        <v>152.68</v>
      </c>
      <c r="E22" s="21">
        <v>176.28</v>
      </c>
      <c r="F22" s="21">
        <v>200.74</v>
      </c>
      <c r="G22" s="21">
        <v>196.8</v>
      </c>
      <c r="H22" s="21">
        <v>218.36</v>
      </c>
      <c r="I22" s="21">
        <v>253.48</v>
      </c>
      <c r="J22" s="21">
        <v>268.95999999999998</v>
      </c>
      <c r="K22" s="21">
        <v>314.88</v>
      </c>
      <c r="L22" s="21">
        <v>328.56</v>
      </c>
      <c r="M22" s="21">
        <v>293.2</v>
      </c>
      <c r="N22" s="22">
        <v>308.45</v>
      </c>
      <c r="O22" s="23">
        <v>308.45</v>
      </c>
      <c r="P22" s="24">
        <v>312.76</v>
      </c>
      <c r="Q22" s="24">
        <v>312.76</v>
      </c>
      <c r="R22" s="25">
        <v>328.9</v>
      </c>
      <c r="S22" s="26">
        <v>328.9</v>
      </c>
      <c r="T22" s="20">
        <v>309.42</v>
      </c>
      <c r="U22" s="27">
        <v>276.02999999999997</v>
      </c>
      <c r="V22" s="27">
        <v>261.5</v>
      </c>
      <c r="W22" s="28">
        <v>272.74</v>
      </c>
    </row>
    <row r="23" spans="2:26">
      <c r="B23" s="17" t="s">
        <v>75</v>
      </c>
      <c r="C23" s="21"/>
      <c r="D23" s="21"/>
      <c r="E23" s="21"/>
      <c r="F23" s="21"/>
      <c r="G23" s="21"/>
      <c r="H23" s="21"/>
      <c r="I23" s="21"/>
      <c r="J23" s="21"/>
      <c r="K23" s="21"/>
      <c r="L23" s="21"/>
      <c r="M23" s="21"/>
      <c r="N23" s="22">
        <v>253.94</v>
      </c>
      <c r="O23" s="23">
        <v>235.39</v>
      </c>
      <c r="P23" s="24">
        <v>216</v>
      </c>
      <c r="Q23" s="24">
        <v>206.44</v>
      </c>
      <c r="R23" s="25">
        <v>196.9</v>
      </c>
      <c r="S23" s="26">
        <v>182.3</v>
      </c>
      <c r="T23" s="20">
        <v>192.68</v>
      </c>
      <c r="U23" s="27">
        <v>199</v>
      </c>
      <c r="V23" s="27">
        <v>209.04</v>
      </c>
      <c r="W23" s="28">
        <v>217.96</v>
      </c>
      <c r="X23">
        <v>220.4</v>
      </c>
      <c r="Y23">
        <v>208.48</v>
      </c>
      <c r="Z23" s="29">
        <v>221.8</v>
      </c>
    </row>
    <row r="24" spans="2:26">
      <c r="B24" s="17" t="s">
        <v>76</v>
      </c>
      <c r="C24" s="21">
        <v>194.25</v>
      </c>
      <c r="D24" s="21">
        <v>217.36</v>
      </c>
      <c r="E24" s="21">
        <v>232.64</v>
      </c>
      <c r="F24" s="21">
        <v>270.55</v>
      </c>
      <c r="G24" s="21">
        <v>246.64</v>
      </c>
      <c r="H24" s="21">
        <v>268.45999999999998</v>
      </c>
      <c r="I24" s="21">
        <v>292.5</v>
      </c>
      <c r="J24" s="21">
        <v>429.76</v>
      </c>
      <c r="K24" s="21">
        <v>455.28</v>
      </c>
      <c r="L24" s="21">
        <v>469.6</v>
      </c>
      <c r="M24" s="21">
        <v>460.7</v>
      </c>
      <c r="N24" s="22">
        <v>357.89</v>
      </c>
      <c r="O24" s="23">
        <v>362.39</v>
      </c>
      <c r="P24" s="24">
        <v>388.04</v>
      </c>
      <c r="Q24" s="24">
        <v>388.04</v>
      </c>
      <c r="R24" s="25">
        <v>394.52</v>
      </c>
      <c r="S24" s="26">
        <v>394.52</v>
      </c>
      <c r="T24" s="20">
        <v>420.04</v>
      </c>
      <c r="U24" s="27">
        <v>411.17</v>
      </c>
      <c r="V24" s="31">
        <v>505.64</v>
      </c>
      <c r="W24" s="32">
        <v>608.78</v>
      </c>
      <c r="X24" s="25">
        <v>643.78</v>
      </c>
      <c r="Y24" s="25">
        <v>659.92</v>
      </c>
      <c r="Z24" s="29">
        <v>676.42</v>
      </c>
    </row>
    <row r="25" spans="2:26">
      <c r="B25" s="17" t="s">
        <v>77</v>
      </c>
      <c r="C25" s="21"/>
      <c r="D25" s="21"/>
      <c r="E25" s="21"/>
      <c r="F25" s="21"/>
      <c r="G25" s="21"/>
      <c r="H25" s="21"/>
      <c r="I25" s="21"/>
      <c r="J25" s="21"/>
      <c r="K25" s="21"/>
      <c r="L25" s="21"/>
      <c r="M25" s="21"/>
      <c r="N25" s="22"/>
      <c r="O25" s="23"/>
      <c r="P25" s="24"/>
      <c r="Q25" s="24"/>
      <c r="S25" s="26"/>
      <c r="T25" s="20">
        <v>237.4</v>
      </c>
      <c r="U25" s="27">
        <v>255.96</v>
      </c>
      <c r="V25" s="27">
        <v>255.96</v>
      </c>
      <c r="W25" s="28">
        <v>280.60000000000002</v>
      </c>
      <c r="X25">
        <v>278.60000000000002</v>
      </c>
      <c r="Y25">
        <v>295.39999999999998</v>
      </c>
      <c r="Z25" s="29">
        <v>295.39999999999998</v>
      </c>
    </row>
    <row r="26" spans="2:26">
      <c r="B26" s="17" t="s">
        <v>78</v>
      </c>
      <c r="C26" s="21">
        <v>109.4</v>
      </c>
      <c r="D26" s="21">
        <v>163.32</v>
      </c>
      <c r="E26" s="21">
        <v>178.02</v>
      </c>
      <c r="F26" s="21">
        <v>191.04</v>
      </c>
      <c r="G26" s="21">
        <v>211.18</v>
      </c>
      <c r="H26" s="21">
        <v>223.78</v>
      </c>
      <c r="I26" s="21">
        <v>237.86</v>
      </c>
      <c r="J26" s="21">
        <v>245.34</v>
      </c>
      <c r="K26" s="21">
        <v>224.22</v>
      </c>
      <c r="L26" s="21">
        <v>259.16000000000003</v>
      </c>
      <c r="M26" s="21">
        <v>269.48</v>
      </c>
      <c r="N26" s="22">
        <v>229.19</v>
      </c>
      <c r="O26" s="23">
        <v>216.59</v>
      </c>
      <c r="P26" s="24">
        <v>223.68</v>
      </c>
      <c r="Q26" s="24">
        <v>223.68</v>
      </c>
      <c r="R26" s="25">
        <v>217.17</v>
      </c>
      <c r="S26" s="26">
        <v>229.82</v>
      </c>
      <c r="T26" s="20">
        <v>234.7</v>
      </c>
      <c r="U26" s="27">
        <v>234.7</v>
      </c>
      <c r="V26" s="27">
        <v>263.5</v>
      </c>
      <c r="W26" s="28">
        <v>275.89999999999998</v>
      </c>
      <c r="X26">
        <v>265.22000000000003</v>
      </c>
      <c r="Y26">
        <v>263.10000000000002</v>
      </c>
      <c r="Z26" s="29">
        <v>263.10000000000002</v>
      </c>
    </row>
    <row r="27" spans="2:26">
      <c r="B27" s="17" t="s">
        <v>79</v>
      </c>
      <c r="C27" s="21">
        <v>132.68</v>
      </c>
      <c r="D27" s="21">
        <v>146.30000000000001</v>
      </c>
      <c r="E27" s="21">
        <v>151.30000000000001</v>
      </c>
      <c r="F27" s="21">
        <v>170.96</v>
      </c>
      <c r="G27" s="21">
        <v>191.76</v>
      </c>
      <c r="H27" s="21">
        <v>216.44</v>
      </c>
      <c r="I27" s="21">
        <v>203.32</v>
      </c>
      <c r="J27" s="21">
        <v>231.84</v>
      </c>
      <c r="K27" s="21">
        <v>243.04</v>
      </c>
      <c r="L27" s="21">
        <v>284.48</v>
      </c>
      <c r="M27" s="21">
        <v>278.5</v>
      </c>
      <c r="N27" s="22">
        <v>250.84</v>
      </c>
      <c r="O27" s="23">
        <v>250.84</v>
      </c>
      <c r="P27" s="24">
        <v>251.92</v>
      </c>
      <c r="Q27" s="24">
        <v>263.38</v>
      </c>
      <c r="R27" s="25">
        <v>284.8</v>
      </c>
      <c r="S27" s="26">
        <v>269.48</v>
      </c>
      <c r="T27" s="20">
        <v>272.98</v>
      </c>
      <c r="U27" s="27">
        <v>269.98</v>
      </c>
      <c r="V27" s="27">
        <v>261.98</v>
      </c>
      <c r="W27" s="28">
        <v>263.89999999999998</v>
      </c>
      <c r="X27">
        <v>260.49</v>
      </c>
      <c r="Y27">
        <v>266.39999999999998</v>
      </c>
      <c r="Z27" s="29">
        <v>278.89999999999998</v>
      </c>
    </row>
    <row r="28" spans="2:26">
      <c r="B28" s="17" t="s">
        <v>80</v>
      </c>
      <c r="C28" s="21">
        <v>139.68</v>
      </c>
      <c r="D28" s="21">
        <v>188.06</v>
      </c>
      <c r="E28" s="21">
        <v>205.24</v>
      </c>
      <c r="F28" s="21">
        <v>217</v>
      </c>
      <c r="G28" s="21">
        <v>210.56</v>
      </c>
      <c r="H28" s="21">
        <v>214.7</v>
      </c>
      <c r="I28" s="21">
        <v>227.16</v>
      </c>
      <c r="J28" s="21">
        <v>268.36</v>
      </c>
      <c r="K28" s="21">
        <v>233.56</v>
      </c>
      <c r="L28" s="21">
        <v>288.39999999999998</v>
      </c>
      <c r="M28" s="21">
        <v>285.26</v>
      </c>
      <c r="N28" s="22">
        <v>236.97</v>
      </c>
      <c r="O28" s="23">
        <v>240.34</v>
      </c>
      <c r="P28" s="24">
        <v>260.95</v>
      </c>
      <c r="Q28" s="24">
        <v>274.64</v>
      </c>
      <c r="R28" s="25">
        <v>283.70999999999998</v>
      </c>
      <c r="S28" s="26">
        <v>302.04000000000002</v>
      </c>
      <c r="T28" s="20">
        <v>355.63</v>
      </c>
      <c r="U28" s="27">
        <v>337.63</v>
      </c>
      <c r="V28" s="27">
        <v>331</v>
      </c>
      <c r="W28" s="28">
        <v>346.52</v>
      </c>
      <c r="X28">
        <v>333.12</v>
      </c>
      <c r="Y28">
        <v>344.92</v>
      </c>
      <c r="Z28" s="29">
        <v>341.9</v>
      </c>
    </row>
    <row r="29" spans="2:26">
      <c r="B29" s="17" t="s">
        <v>81</v>
      </c>
      <c r="C29" s="21">
        <v>144.94</v>
      </c>
      <c r="D29" s="21">
        <v>157.94</v>
      </c>
      <c r="E29" s="21">
        <v>165.24</v>
      </c>
      <c r="F29" s="21">
        <v>192.94</v>
      </c>
      <c r="G29" s="21">
        <v>225.8</v>
      </c>
      <c r="H29" s="21">
        <v>254.96</v>
      </c>
      <c r="I29" s="21">
        <v>269.56</v>
      </c>
      <c r="J29" s="21">
        <v>284.62</v>
      </c>
      <c r="K29" s="21">
        <v>279.12</v>
      </c>
      <c r="L29" s="21">
        <v>367.72</v>
      </c>
      <c r="M29" s="21">
        <v>254.32</v>
      </c>
      <c r="N29" s="22">
        <v>273.58999999999997</v>
      </c>
      <c r="O29" s="23">
        <v>262.5</v>
      </c>
      <c r="P29" s="24">
        <v>247.68</v>
      </c>
      <c r="Q29" s="24">
        <v>232.86</v>
      </c>
      <c r="R29" s="25">
        <v>243.86</v>
      </c>
      <c r="S29" s="26">
        <v>251.86</v>
      </c>
      <c r="T29" s="20">
        <v>329.83</v>
      </c>
      <c r="U29" s="27">
        <v>337.2</v>
      </c>
      <c r="V29" s="27">
        <v>297.49</v>
      </c>
      <c r="W29" s="28">
        <v>296.58</v>
      </c>
      <c r="X29">
        <v>296.58</v>
      </c>
      <c r="Y29">
        <v>308.18</v>
      </c>
      <c r="Z29" s="29">
        <v>317.08</v>
      </c>
    </row>
    <row r="30" spans="2:26">
      <c r="B30" s="17" t="s">
        <v>82</v>
      </c>
      <c r="C30" s="21">
        <v>128.18</v>
      </c>
      <c r="D30" s="21">
        <v>130.62</v>
      </c>
      <c r="E30" s="21">
        <v>148.06</v>
      </c>
      <c r="F30" s="21">
        <v>156.08000000000001</v>
      </c>
      <c r="G30" s="21">
        <v>165.44</v>
      </c>
      <c r="H30" s="21">
        <v>197.54</v>
      </c>
      <c r="I30" s="21">
        <v>207.08</v>
      </c>
      <c r="J30" s="21">
        <v>198.94</v>
      </c>
      <c r="K30" s="21">
        <v>243.22</v>
      </c>
      <c r="L30" s="21">
        <v>297.16000000000003</v>
      </c>
      <c r="M30" s="21">
        <v>316.95999999999998</v>
      </c>
      <c r="N30" s="22">
        <v>308.32</v>
      </c>
      <c r="O30" s="23">
        <v>324.3</v>
      </c>
      <c r="P30" s="24">
        <v>335.5</v>
      </c>
      <c r="Q30" s="24">
        <v>310.7</v>
      </c>
      <c r="R30" s="25">
        <v>318.2</v>
      </c>
      <c r="S30" s="26">
        <v>318.3</v>
      </c>
      <c r="T30" s="20">
        <v>318.2</v>
      </c>
      <c r="U30" s="27">
        <v>305</v>
      </c>
      <c r="V30" s="27">
        <v>282.2</v>
      </c>
      <c r="W30" s="28">
        <v>277.68</v>
      </c>
      <c r="X30">
        <v>268.27999999999997</v>
      </c>
      <c r="Y30">
        <v>268.27999999999997</v>
      </c>
      <c r="Z30" s="29">
        <v>280.27999999999997</v>
      </c>
    </row>
    <row r="31" spans="2:26">
      <c r="B31" s="17" t="s">
        <v>83</v>
      </c>
      <c r="C31" s="21">
        <v>157</v>
      </c>
      <c r="D31" s="21">
        <v>157.86000000000001</v>
      </c>
      <c r="E31" s="21">
        <v>180.72</v>
      </c>
      <c r="F31" s="21">
        <v>178.7</v>
      </c>
      <c r="G31" s="21">
        <v>208.36</v>
      </c>
      <c r="H31" s="21">
        <v>186.56</v>
      </c>
      <c r="I31" s="21">
        <v>188.14</v>
      </c>
      <c r="J31" s="21">
        <v>218.04</v>
      </c>
      <c r="K31" s="21">
        <v>217.68</v>
      </c>
      <c r="L31" s="21">
        <v>246.02</v>
      </c>
      <c r="M31" s="21">
        <v>234.84</v>
      </c>
      <c r="N31" s="22">
        <v>248.77</v>
      </c>
      <c r="O31" s="23">
        <v>255.43</v>
      </c>
      <c r="P31" s="24">
        <v>259.54000000000002</v>
      </c>
      <c r="Q31" s="24">
        <v>270.5</v>
      </c>
      <c r="R31" s="25">
        <v>278.02999999999997</v>
      </c>
      <c r="S31" s="26">
        <v>303.79000000000002</v>
      </c>
      <c r="T31" s="20">
        <v>329.48</v>
      </c>
      <c r="U31" s="27">
        <v>321.89999999999998</v>
      </c>
      <c r="V31" s="27">
        <v>315.36</v>
      </c>
      <c r="W31" s="28">
        <v>319.33999999999997</v>
      </c>
      <c r="X31">
        <v>330.8</v>
      </c>
      <c r="Y31">
        <v>339</v>
      </c>
      <c r="Z31" s="29">
        <v>340.6</v>
      </c>
    </row>
    <row r="32" spans="2:26">
      <c r="B32" s="17" t="s">
        <v>84</v>
      </c>
      <c r="C32" s="21">
        <v>131.78</v>
      </c>
      <c r="D32" s="21">
        <v>167.68</v>
      </c>
      <c r="E32" s="21">
        <v>173.12</v>
      </c>
      <c r="F32" s="21">
        <v>193.32</v>
      </c>
      <c r="G32" s="21">
        <v>191.14</v>
      </c>
      <c r="H32" s="21">
        <v>229.04</v>
      </c>
      <c r="I32" s="21">
        <v>255.78</v>
      </c>
      <c r="J32" s="21">
        <v>317.38</v>
      </c>
      <c r="K32" s="21">
        <v>318.89999999999998</v>
      </c>
      <c r="L32" s="21">
        <v>294.26</v>
      </c>
      <c r="M32" s="21">
        <v>241.44</v>
      </c>
      <c r="N32" s="22">
        <v>207.52</v>
      </c>
      <c r="O32" s="23">
        <v>207.52</v>
      </c>
      <c r="P32" s="24">
        <v>207.52</v>
      </c>
      <c r="Q32" s="24">
        <v>215.65</v>
      </c>
      <c r="R32" s="25">
        <v>226.71</v>
      </c>
      <c r="S32" s="26">
        <v>229.5</v>
      </c>
      <c r="U32" s="27"/>
      <c r="V32" s="27"/>
      <c r="W32" s="28"/>
    </row>
    <row r="33" spans="2:26">
      <c r="B33" s="17" t="s">
        <v>85</v>
      </c>
      <c r="C33" s="21"/>
      <c r="D33" s="21"/>
      <c r="E33" s="21"/>
      <c r="F33" s="21"/>
      <c r="G33" s="21">
        <v>153.94</v>
      </c>
      <c r="H33" s="21">
        <v>175.93</v>
      </c>
      <c r="I33" s="21">
        <v>158.65</v>
      </c>
      <c r="J33" s="21">
        <v>164.47</v>
      </c>
      <c r="K33" s="21">
        <v>241.74</v>
      </c>
      <c r="L33" s="21">
        <v>238.68</v>
      </c>
      <c r="M33" s="21">
        <v>253.71</v>
      </c>
      <c r="N33" s="22">
        <v>193.9</v>
      </c>
      <c r="O33" s="23">
        <v>235.19</v>
      </c>
      <c r="P33" s="24">
        <v>229.08</v>
      </c>
      <c r="Q33" s="24">
        <v>242.88</v>
      </c>
      <c r="R33" s="25">
        <v>289.10000000000002</v>
      </c>
      <c r="S33" s="26">
        <v>320.47000000000003</v>
      </c>
      <c r="T33" s="20">
        <v>284.17</v>
      </c>
      <c r="U33" s="27">
        <v>313.2</v>
      </c>
      <c r="V33" s="27">
        <v>332.94</v>
      </c>
      <c r="W33" s="28">
        <v>319.32</v>
      </c>
      <c r="X33">
        <v>316.08999999999997</v>
      </c>
      <c r="Y33">
        <v>321.63</v>
      </c>
      <c r="Z33" s="29">
        <v>289.70999999999998</v>
      </c>
    </row>
    <row r="34" spans="2:26">
      <c r="B34" s="17" t="s">
        <v>86</v>
      </c>
      <c r="C34" s="21">
        <v>124.28</v>
      </c>
      <c r="D34" s="21">
        <v>166.24</v>
      </c>
      <c r="E34" s="21">
        <v>168.42</v>
      </c>
      <c r="F34" s="21">
        <v>177.9</v>
      </c>
      <c r="G34" s="21">
        <v>193.12</v>
      </c>
      <c r="H34" s="21">
        <v>209.22</v>
      </c>
      <c r="I34" s="21">
        <v>231.6</v>
      </c>
      <c r="J34" s="21">
        <v>244.76</v>
      </c>
      <c r="K34" s="21">
        <v>281.77999999999997</v>
      </c>
      <c r="L34" s="21">
        <v>291.39999999999998</v>
      </c>
      <c r="M34" s="21">
        <v>261.42</v>
      </c>
      <c r="N34" s="22">
        <v>227.14</v>
      </c>
      <c r="O34" s="23">
        <v>229.57</v>
      </c>
      <c r="P34" s="24">
        <v>222.23</v>
      </c>
      <c r="Q34" s="24">
        <v>228.48</v>
      </c>
      <c r="R34" s="25">
        <v>225.52</v>
      </c>
      <c r="S34" s="26">
        <v>235.75</v>
      </c>
      <c r="T34" s="20">
        <v>252.6</v>
      </c>
      <c r="U34" s="27">
        <v>242.6</v>
      </c>
      <c r="V34" s="27">
        <v>246.88</v>
      </c>
      <c r="W34" s="28">
        <v>271.36</v>
      </c>
      <c r="X34">
        <v>276.98</v>
      </c>
      <c r="Y34">
        <v>280.98</v>
      </c>
      <c r="Z34" s="29">
        <v>275.74</v>
      </c>
    </row>
    <row r="35" spans="2:26">
      <c r="B35" s="17" t="s">
        <v>87</v>
      </c>
      <c r="C35" s="21"/>
      <c r="D35" s="21"/>
      <c r="E35" s="21"/>
      <c r="F35" s="21"/>
      <c r="G35" s="21">
        <v>178.73</v>
      </c>
      <c r="H35" s="21">
        <v>171.83</v>
      </c>
      <c r="I35" s="21">
        <v>171.57</v>
      </c>
      <c r="J35" s="21">
        <v>182.14</v>
      </c>
      <c r="K35" s="21">
        <v>185.35</v>
      </c>
      <c r="L35" s="21">
        <v>196.45</v>
      </c>
      <c r="M35" s="21"/>
      <c r="N35" s="22"/>
      <c r="O35" s="23"/>
      <c r="S35" s="33"/>
      <c r="U35" s="27"/>
      <c r="V35" s="27"/>
      <c r="W35" s="28"/>
    </row>
    <row r="36" spans="2:26">
      <c r="B36" s="17" t="s">
        <v>88</v>
      </c>
      <c r="C36" s="21">
        <v>123.5</v>
      </c>
      <c r="D36" s="21">
        <v>147.16</v>
      </c>
      <c r="E36" s="21">
        <v>162.41999999999999</v>
      </c>
      <c r="F36" s="21">
        <v>166.62</v>
      </c>
      <c r="G36" s="21">
        <v>181.74</v>
      </c>
      <c r="H36" s="21">
        <v>217.56</v>
      </c>
      <c r="I36" s="21">
        <v>282.52</v>
      </c>
      <c r="J36" s="21">
        <v>338.1</v>
      </c>
      <c r="K36" s="21">
        <v>331.6</v>
      </c>
      <c r="L36" s="21">
        <v>324.83999999999997</v>
      </c>
      <c r="M36" s="21">
        <v>300.24</v>
      </c>
      <c r="N36" s="22">
        <v>274.32</v>
      </c>
      <c r="O36" s="23">
        <v>269.32</v>
      </c>
      <c r="P36" s="24">
        <v>269.32</v>
      </c>
      <c r="Q36" s="24">
        <v>269.32</v>
      </c>
      <c r="R36" s="25">
        <v>262.32</v>
      </c>
      <c r="S36" s="26">
        <v>194.56</v>
      </c>
      <c r="T36" s="20">
        <v>203.56</v>
      </c>
      <c r="U36" s="27">
        <v>196.83</v>
      </c>
      <c r="V36" s="27">
        <v>186.08</v>
      </c>
      <c r="W36" s="28">
        <v>212.54</v>
      </c>
      <c r="X36">
        <v>246.94</v>
      </c>
      <c r="Y36">
        <v>249.22</v>
      </c>
      <c r="Z36" s="29">
        <v>258.77999999999997</v>
      </c>
    </row>
    <row r="38" spans="2:26">
      <c r="B38" s="240" t="s">
        <v>1101</v>
      </c>
    </row>
    <row r="39" spans="2:26">
      <c r="B39" t="s">
        <v>12</v>
      </c>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0"/>
  <sheetViews>
    <sheetView zoomScale="68" zoomScaleNormal="68" zoomScalePageLayoutView="68" workbookViewId="0"/>
  </sheetViews>
  <sheetFormatPr defaultColWidth="8.796875" defaultRowHeight="15.6"/>
  <cols>
    <col min="1" max="1" width="3.69921875" customWidth="1"/>
    <col min="2" max="2" width="35.19921875" customWidth="1"/>
    <col min="3" max="3" width="14.69921875" bestFit="1" customWidth="1"/>
    <col min="4" max="21" width="12.19921875" bestFit="1" customWidth="1"/>
    <col min="22" max="22" width="11.19921875" bestFit="1" customWidth="1"/>
    <col min="23" max="23" width="11.19921875" customWidth="1"/>
    <col min="24" max="24" width="15.796875" customWidth="1"/>
    <col min="25" max="25" width="13" customWidth="1"/>
    <col min="26" max="26" width="13.69921875" customWidth="1"/>
    <col min="27" max="27" width="14.796875" bestFit="1" customWidth="1"/>
  </cols>
  <sheetData>
    <row r="1" spans="2:26">
      <c r="B1" s="189" t="s">
        <v>803</v>
      </c>
    </row>
    <row r="2" spans="2:26">
      <c r="R2" s="333" t="s">
        <v>43</v>
      </c>
      <c r="S2" s="333"/>
      <c r="T2" s="333" t="s">
        <v>1085</v>
      </c>
      <c r="U2" s="333"/>
      <c r="V2" s="333" t="s">
        <v>44</v>
      </c>
      <c r="W2" s="333"/>
      <c r="X2" s="34"/>
      <c r="Z2" s="34"/>
    </row>
    <row r="3" spans="2:26">
      <c r="C3">
        <v>2002</v>
      </c>
      <c r="D3">
        <v>2003</v>
      </c>
      <c r="E3">
        <v>2004</v>
      </c>
      <c r="F3">
        <v>2005</v>
      </c>
      <c r="G3">
        <v>2006</v>
      </c>
      <c r="H3">
        <v>2007</v>
      </c>
      <c r="I3">
        <v>2008</v>
      </c>
      <c r="J3">
        <v>2009</v>
      </c>
      <c r="K3">
        <v>2010</v>
      </c>
      <c r="L3">
        <v>2011</v>
      </c>
      <c r="M3">
        <v>2012</v>
      </c>
      <c r="N3">
        <v>2013</v>
      </c>
      <c r="O3">
        <v>2014</v>
      </c>
      <c r="P3">
        <v>2015</v>
      </c>
      <c r="Q3">
        <v>2016</v>
      </c>
      <c r="R3">
        <v>2017</v>
      </c>
      <c r="S3">
        <v>2018</v>
      </c>
      <c r="T3">
        <v>2017</v>
      </c>
      <c r="U3">
        <v>2018</v>
      </c>
      <c r="V3">
        <v>2017</v>
      </c>
      <c r="W3">
        <v>2018</v>
      </c>
    </row>
    <row r="4" spans="2:26">
      <c r="B4" t="s">
        <v>56</v>
      </c>
      <c r="C4" s="35">
        <f t="shared" ref="C4:W4" si="0">C5*$C$12</f>
        <v>776294</v>
      </c>
      <c r="D4" s="35">
        <f t="shared" si="0"/>
        <v>804297</v>
      </c>
      <c r="E4" s="35">
        <f t="shared" si="0"/>
        <v>809176</v>
      </c>
      <c r="F4" s="35">
        <f t="shared" si="0"/>
        <v>828364</v>
      </c>
      <c r="G4" s="35">
        <f t="shared" si="0"/>
        <v>868708</v>
      </c>
      <c r="H4" s="35">
        <f t="shared" si="0"/>
        <v>912332</v>
      </c>
      <c r="I4" s="35">
        <f t="shared" si="0"/>
        <v>901467</v>
      </c>
      <c r="J4" s="35">
        <f t="shared" si="0"/>
        <v>869077</v>
      </c>
      <c r="K4" s="35">
        <f t="shared" si="0"/>
        <v>849725</v>
      </c>
      <c r="L4" s="35">
        <f t="shared" si="0"/>
        <v>893431</v>
      </c>
      <c r="M4" s="35">
        <f t="shared" si="0"/>
        <v>908601</v>
      </c>
      <c r="N4" s="35">
        <f t="shared" si="0"/>
        <v>896916</v>
      </c>
      <c r="O4" s="35">
        <f t="shared" si="0"/>
        <v>890356</v>
      </c>
      <c r="P4" s="35">
        <f t="shared" si="0"/>
        <v>875063</v>
      </c>
      <c r="Q4" s="35">
        <f t="shared" si="0"/>
        <v>894620</v>
      </c>
      <c r="R4" s="35">
        <f t="shared" si="0"/>
        <v>904928.55151047336</v>
      </c>
      <c r="S4" s="35">
        <f t="shared" si="0"/>
        <v>899109.66614472982</v>
      </c>
      <c r="T4" s="35">
        <f t="shared" si="0"/>
        <v>881184.28101982444</v>
      </c>
      <c r="U4" s="35">
        <f t="shared" si="0"/>
        <v>867950.34441039199</v>
      </c>
      <c r="V4" s="198">
        <f t="shared" si="0"/>
        <v>23744.270490648993</v>
      </c>
      <c r="W4" s="199">
        <f t="shared" si="0"/>
        <v>31159.321734337835</v>
      </c>
    </row>
    <row r="5" spans="2:26">
      <c r="B5" t="s">
        <v>42</v>
      </c>
      <c r="C5" s="197">
        <f>Attendance!E59</f>
        <v>18934</v>
      </c>
      <c r="D5" s="197">
        <f>Attendance!E55</f>
        <v>19617</v>
      </c>
      <c r="E5" s="8">
        <f>Attendance!E51</f>
        <v>19736</v>
      </c>
      <c r="F5" s="8">
        <f>Attendance!E47</f>
        <v>20204</v>
      </c>
      <c r="G5" s="8">
        <f>Attendance!E43</f>
        <v>21188</v>
      </c>
      <c r="H5" s="8">
        <f>Attendance!E39</f>
        <v>22252</v>
      </c>
      <c r="I5" s="8">
        <f>Attendance!E35</f>
        <v>21987</v>
      </c>
      <c r="J5" s="8">
        <f>Attendance!E31</f>
        <v>21197</v>
      </c>
      <c r="K5" s="8">
        <f>Attendance!E27</f>
        <v>20725</v>
      </c>
      <c r="L5" s="8">
        <f>Attendance!E23</f>
        <v>21791</v>
      </c>
      <c r="M5" s="8">
        <f>Attendance!E19</f>
        <v>22161</v>
      </c>
      <c r="N5" s="8">
        <f>Attendance!E15</f>
        <v>21876</v>
      </c>
      <c r="O5" s="8">
        <f>Attendance!E11</f>
        <v>21716</v>
      </c>
      <c r="P5" s="8">
        <f>Attendance!E7</f>
        <v>21343</v>
      </c>
      <c r="Q5" s="8">
        <f>Attendance!E3</f>
        <v>21820</v>
      </c>
      <c r="R5" s="8">
        <f t="shared" ref="R5:W5" si="1">R6*$C$13</f>
        <v>22071.428085621301</v>
      </c>
      <c r="S5" s="8">
        <f t="shared" si="1"/>
        <v>21929.504052310484</v>
      </c>
      <c r="T5" s="8">
        <f t="shared" si="1"/>
        <v>21492.299537068888</v>
      </c>
      <c r="U5" s="8">
        <f t="shared" si="1"/>
        <v>21169.520595375416</v>
      </c>
      <c r="V5" s="8">
        <f t="shared" si="1"/>
        <v>579.12854855241449</v>
      </c>
      <c r="W5" s="8">
        <f t="shared" si="1"/>
        <v>759.98345693506917</v>
      </c>
    </row>
    <row r="6" spans="2:26">
      <c r="B6" t="s">
        <v>40</v>
      </c>
      <c r="C6" s="192">
        <f t="shared" ref="C6:Q6" si="2">C5/$C$13</f>
        <v>0.8521152115211521</v>
      </c>
      <c r="D6" s="192">
        <f t="shared" si="2"/>
        <v>0.8828532853285328</v>
      </c>
      <c r="E6" s="192">
        <f t="shared" si="2"/>
        <v>0.88820882088208819</v>
      </c>
      <c r="F6" s="192">
        <f t="shared" si="2"/>
        <v>0.90927092709270929</v>
      </c>
      <c r="G6" s="192">
        <f t="shared" si="2"/>
        <v>0.95355535553555359</v>
      </c>
      <c r="H6" s="192">
        <f t="shared" si="2"/>
        <v>1.0014401440144014</v>
      </c>
      <c r="I6" s="192">
        <f t="shared" si="2"/>
        <v>0.98951395139513953</v>
      </c>
      <c r="J6" s="192">
        <f t="shared" si="2"/>
        <v>0.95396039603960392</v>
      </c>
      <c r="K6" s="192">
        <f t="shared" si="2"/>
        <v>0.9327182718271827</v>
      </c>
      <c r="L6" s="192">
        <f t="shared" si="2"/>
        <v>0.98069306930693068</v>
      </c>
      <c r="M6" s="192">
        <f t="shared" si="2"/>
        <v>0.99734473447344729</v>
      </c>
      <c r="N6" s="192">
        <f t="shared" si="2"/>
        <v>0.98451845184518449</v>
      </c>
      <c r="O6" s="192">
        <f t="shared" si="2"/>
        <v>0.97731773177317727</v>
      </c>
      <c r="P6" s="192">
        <f t="shared" si="2"/>
        <v>0.96053105310531051</v>
      </c>
      <c r="Q6" s="192">
        <f t="shared" si="2"/>
        <v>0.98199819981998204</v>
      </c>
      <c r="R6" s="192">
        <f>Q6*(1+R8)</f>
        <v>0.99331359521247986</v>
      </c>
      <c r="S6" s="192">
        <f>R6*(1+S8)</f>
        <v>0.98692637499147096</v>
      </c>
      <c r="T6" s="192">
        <f>Q6*(1+T8)</f>
        <v>0.96725020418851881</v>
      </c>
      <c r="U6" s="192">
        <f>T6*(1+U8)</f>
        <v>0.95272369916180988</v>
      </c>
      <c r="V6" s="192">
        <f>R6-T6</f>
        <v>2.6063391023961047E-2</v>
      </c>
      <c r="W6" s="192">
        <f>S6-U6</f>
        <v>3.4202675829661078E-2</v>
      </c>
    </row>
    <row r="7" spans="2:26">
      <c r="B7" t="s">
        <v>47</v>
      </c>
      <c r="C7" s="192" t="s">
        <v>48</v>
      </c>
      <c r="D7" s="192">
        <f>(D6-C6)/C6</f>
        <v>3.6072673497412014E-2</v>
      </c>
      <c r="E7" s="192">
        <f t="shared" ref="E7:Q7" si="3">(E6-D6)/D6</f>
        <v>6.066167099964357E-3</v>
      </c>
      <c r="F7" s="192">
        <f t="shared" si="3"/>
        <v>2.3713011755168264E-2</v>
      </c>
      <c r="G7" s="192">
        <f t="shared" si="3"/>
        <v>4.8703227083745811E-2</v>
      </c>
      <c r="H7" s="192">
        <f t="shared" si="3"/>
        <v>5.021710402114396E-2</v>
      </c>
      <c r="I7" s="192">
        <f t="shared" si="3"/>
        <v>-1.1909041883875548E-2</v>
      </c>
      <c r="J7" s="192">
        <f t="shared" si="3"/>
        <v>-3.5930322463273816E-2</v>
      </c>
      <c r="K7" s="192">
        <f t="shared" si="3"/>
        <v>-2.2267301976694794E-2</v>
      </c>
      <c r="L7" s="192">
        <f t="shared" si="3"/>
        <v>5.1435464414957784E-2</v>
      </c>
      <c r="M7" s="192">
        <f t="shared" si="3"/>
        <v>1.6979486944151218E-2</v>
      </c>
      <c r="N7" s="192">
        <f t="shared" si="3"/>
        <v>-1.2860430485988871E-2</v>
      </c>
      <c r="O7" s="192">
        <f t="shared" si="3"/>
        <v>-7.3139513622234682E-3</v>
      </c>
      <c r="P7" s="192">
        <f t="shared" si="3"/>
        <v>-1.7176275557192828E-2</v>
      </c>
      <c r="Q7" s="192">
        <f t="shared" si="3"/>
        <v>2.2349247997001432E-2</v>
      </c>
      <c r="R7" s="192">
        <f t="shared" ref="R7:S7" si="4">(R6-Q6)/Q6</f>
        <v>1.1522827022057813E-2</v>
      </c>
      <c r="S7" s="192">
        <f t="shared" si="4"/>
        <v>-6.4302152429944479E-3</v>
      </c>
      <c r="T7" s="192">
        <f>(T6-Q6)/Q6</f>
        <v>-1.5018353021590877E-2</v>
      </c>
      <c r="U7" s="192">
        <f t="shared" ref="U7" si="5">(U6-T6)/T6</f>
        <v>-1.5018353021590776E-2</v>
      </c>
      <c r="V7" s="192" t="s">
        <v>48</v>
      </c>
      <c r="W7" s="192" t="s">
        <v>48</v>
      </c>
    </row>
    <row r="8" spans="2:26">
      <c r="B8" t="s">
        <v>55</v>
      </c>
      <c r="C8" t="s">
        <v>48</v>
      </c>
      <c r="D8" t="s">
        <v>48</v>
      </c>
      <c r="E8" s="192" t="s">
        <v>48</v>
      </c>
      <c r="F8" s="192" t="s">
        <v>48</v>
      </c>
      <c r="G8" s="192" t="s">
        <v>48</v>
      </c>
      <c r="H8" s="192" t="s">
        <v>48</v>
      </c>
      <c r="I8" s="192" t="s">
        <v>48</v>
      </c>
      <c r="J8" s="192" t="s">
        <v>48</v>
      </c>
      <c r="K8" s="192" t="s">
        <v>48</v>
      </c>
      <c r="L8" s="192" t="s">
        <v>48</v>
      </c>
      <c r="M8" s="192" t="s">
        <v>48</v>
      </c>
      <c r="N8" s="192" t="s">
        <v>48</v>
      </c>
      <c r="O8" s="192" t="s">
        <v>48</v>
      </c>
      <c r="P8" s="192" t="s">
        <v>48</v>
      </c>
      <c r="Q8" s="192" t="s">
        <v>48</v>
      </c>
      <c r="R8" s="192">
        <f>C19</f>
        <v>1.1522827022057787E-2</v>
      </c>
      <c r="S8" s="192">
        <f>N7/2</f>
        <v>-6.4302152429944357E-3</v>
      </c>
      <c r="T8" s="192">
        <f>C21</f>
        <v>-1.5018353021590849E-2</v>
      </c>
      <c r="U8" s="192">
        <f>C21</f>
        <v>-1.5018353021590849E-2</v>
      </c>
      <c r="V8" s="192" t="s">
        <v>48</v>
      </c>
      <c r="W8" s="192" t="s">
        <v>48</v>
      </c>
    </row>
    <row r="10" spans="2:26">
      <c r="B10" s="340" t="s">
        <v>1096</v>
      </c>
      <c r="C10" s="340"/>
    </row>
    <row r="12" spans="2:26">
      <c r="B12" s="144" t="s">
        <v>39</v>
      </c>
      <c r="C12" s="190">
        <v>41</v>
      </c>
    </row>
    <row r="13" spans="2:26">
      <c r="B13" s="182" t="s">
        <v>41</v>
      </c>
      <c r="C13" s="200">
        <v>22220</v>
      </c>
    </row>
    <row r="14" spans="2:26">
      <c r="B14" s="146" t="s">
        <v>46</v>
      </c>
      <c r="C14" s="191" t="s">
        <v>45</v>
      </c>
    </row>
    <row r="16" spans="2:26" ht="15" customHeight="1">
      <c r="F16" s="128"/>
      <c r="I16" s="129"/>
      <c r="J16" s="129"/>
      <c r="K16" s="129"/>
      <c r="L16" s="129"/>
      <c r="M16" s="129"/>
      <c r="N16" s="129"/>
      <c r="O16" s="129"/>
      <c r="P16" s="129"/>
      <c r="Q16" s="129"/>
      <c r="R16" s="129"/>
    </row>
    <row r="17" spans="2:18">
      <c r="B17" s="144"/>
      <c r="C17" s="190" t="s">
        <v>52</v>
      </c>
      <c r="F17" s="129"/>
      <c r="I17" s="129"/>
      <c r="J17" s="129"/>
      <c r="K17" s="129"/>
      <c r="L17" s="129"/>
      <c r="M17" s="129"/>
      <c r="N17" s="129"/>
      <c r="O17" s="129"/>
      <c r="P17" s="129"/>
      <c r="Q17" s="129"/>
      <c r="R17" s="129"/>
    </row>
    <row r="18" spans="2:18">
      <c r="B18" s="182" t="s">
        <v>50</v>
      </c>
      <c r="C18" s="202">
        <f>MAX(D7:Q7)</f>
        <v>5.1435464414957784E-2</v>
      </c>
      <c r="F18" s="129"/>
      <c r="I18" s="129"/>
      <c r="J18" s="129"/>
      <c r="K18" s="129"/>
      <c r="L18" s="129"/>
      <c r="M18" s="129"/>
      <c r="N18" s="129"/>
      <c r="O18" s="129"/>
      <c r="P18" s="129"/>
      <c r="Q18" s="129"/>
      <c r="R18" s="129"/>
    </row>
    <row r="19" spans="2:18">
      <c r="B19" s="182" t="s">
        <v>49</v>
      </c>
      <c r="C19" s="202">
        <f>MEDIAN(D7:Q7)</f>
        <v>1.1522827022057787E-2</v>
      </c>
      <c r="F19" s="129"/>
      <c r="I19" s="129"/>
      <c r="J19" s="129"/>
      <c r="K19" s="129"/>
      <c r="L19" s="129"/>
      <c r="M19" s="129"/>
      <c r="N19" s="129"/>
      <c r="O19" s="129"/>
      <c r="P19" s="129"/>
      <c r="Q19" s="129"/>
      <c r="R19" s="129"/>
    </row>
    <row r="20" spans="2:18">
      <c r="B20" s="182" t="s">
        <v>53</v>
      </c>
      <c r="C20" s="202">
        <v>2.9892842626290141E-2</v>
      </c>
      <c r="F20" s="129"/>
      <c r="I20" s="129"/>
      <c r="J20" s="129"/>
      <c r="K20" s="129"/>
      <c r="L20" s="129"/>
      <c r="M20" s="129"/>
      <c r="N20" s="129"/>
      <c r="O20" s="129"/>
      <c r="P20" s="129"/>
      <c r="Q20" s="129"/>
      <c r="R20" s="129"/>
    </row>
    <row r="21" spans="2:18">
      <c r="B21" s="182" t="s">
        <v>54</v>
      </c>
      <c r="C21" s="202">
        <v>-1.5018353021590849E-2</v>
      </c>
      <c r="F21" s="129"/>
      <c r="I21" s="129"/>
      <c r="J21" s="129"/>
      <c r="K21" s="129"/>
      <c r="L21" s="129"/>
      <c r="M21" s="129"/>
      <c r="N21" s="129"/>
      <c r="O21" s="129"/>
      <c r="P21" s="129"/>
      <c r="Q21" s="129"/>
      <c r="R21" s="129"/>
    </row>
    <row r="22" spans="2:18">
      <c r="B22" s="146" t="s">
        <v>51</v>
      </c>
      <c r="C22" s="203">
        <f>MIN(D7:Q7)</f>
        <v>-3.5930322463273816E-2</v>
      </c>
      <c r="F22" s="129"/>
      <c r="I22" s="129"/>
      <c r="J22" s="129"/>
      <c r="K22" s="129"/>
      <c r="L22" s="129"/>
      <c r="M22" s="129"/>
      <c r="N22" s="129"/>
      <c r="O22" s="129"/>
      <c r="P22" s="129"/>
      <c r="Q22" s="129"/>
      <c r="R22" s="129"/>
    </row>
    <row r="23" spans="2:18">
      <c r="F23" s="129"/>
      <c r="I23" s="129"/>
      <c r="J23" s="129"/>
      <c r="K23" s="129"/>
      <c r="L23" s="129"/>
      <c r="M23" s="129"/>
      <c r="N23" s="129"/>
      <c r="O23" s="129"/>
      <c r="P23" s="129"/>
      <c r="Q23" s="129"/>
      <c r="R23" s="129"/>
    </row>
    <row r="24" spans="2:18">
      <c r="B24" t="s">
        <v>1084</v>
      </c>
      <c r="F24" s="129"/>
      <c r="I24" s="129"/>
      <c r="J24" s="129"/>
      <c r="K24" s="129"/>
      <c r="L24" s="129"/>
      <c r="M24" s="129"/>
      <c r="N24" s="129"/>
      <c r="O24" s="129"/>
      <c r="P24" s="129"/>
      <c r="Q24" s="129"/>
      <c r="R24" s="129"/>
    </row>
    <row r="25" spans="2:18">
      <c r="F25" s="129"/>
      <c r="I25" s="129"/>
      <c r="J25" s="129"/>
      <c r="K25" s="129"/>
      <c r="L25" s="129"/>
      <c r="M25" s="129"/>
      <c r="N25" s="129"/>
      <c r="O25" s="129"/>
      <c r="P25" s="129"/>
      <c r="Q25" s="129"/>
      <c r="R25" s="129"/>
    </row>
    <row r="26" spans="2:18">
      <c r="F26" s="129"/>
      <c r="I26" s="129"/>
      <c r="J26" s="129"/>
      <c r="K26" s="129"/>
      <c r="L26" s="129"/>
      <c r="M26" s="129"/>
      <c r="N26" s="129"/>
      <c r="O26" s="129"/>
      <c r="P26" s="129"/>
      <c r="Q26" s="129"/>
      <c r="R26" s="129"/>
    </row>
    <row r="27" spans="2:18">
      <c r="F27" s="129"/>
      <c r="G27" s="129"/>
      <c r="H27" s="129"/>
      <c r="I27" s="129"/>
      <c r="J27" s="129"/>
      <c r="K27" s="129"/>
      <c r="L27" s="129"/>
      <c r="M27" s="129"/>
      <c r="N27" s="129"/>
      <c r="O27" s="129"/>
      <c r="P27" s="129"/>
      <c r="Q27" s="129"/>
      <c r="R27" s="129"/>
    </row>
    <row r="28" spans="2:18">
      <c r="F28" s="129"/>
      <c r="G28" s="129"/>
      <c r="H28" s="129"/>
      <c r="I28" s="129"/>
      <c r="J28" s="129"/>
      <c r="K28" s="129"/>
      <c r="L28" s="129"/>
      <c r="M28" s="129"/>
      <c r="N28" s="129"/>
      <c r="O28" s="129"/>
      <c r="P28" s="129"/>
      <c r="Q28" s="129"/>
      <c r="R28" s="129"/>
    </row>
    <row r="29" spans="2:18">
      <c r="F29" s="129"/>
      <c r="G29" s="129"/>
      <c r="H29" s="129"/>
      <c r="I29" s="129"/>
      <c r="J29" s="129"/>
      <c r="K29" s="129"/>
      <c r="L29" s="129"/>
      <c r="M29" s="129"/>
      <c r="N29" s="129"/>
      <c r="O29" s="129"/>
      <c r="P29" s="129"/>
      <c r="Q29" s="129"/>
      <c r="R29" s="129"/>
    </row>
    <row r="30" spans="2:18">
      <c r="F30" s="129"/>
      <c r="G30" s="129"/>
      <c r="H30" s="129"/>
      <c r="I30" s="129"/>
      <c r="J30" s="129"/>
      <c r="K30" s="129"/>
      <c r="L30" s="129"/>
      <c r="M30" s="129"/>
      <c r="N30" s="129"/>
      <c r="O30" s="129"/>
      <c r="P30" s="129"/>
      <c r="Q30" s="129"/>
      <c r="R30" s="129"/>
    </row>
  </sheetData>
  <mergeCells count="4">
    <mergeCell ref="R2:S2"/>
    <mergeCell ref="B10:C10"/>
    <mergeCell ref="V2:W2"/>
    <mergeCell ref="T2:U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62" zoomScaleNormal="62" zoomScalePageLayoutView="62" workbookViewId="0">
      <selection sqref="A1:B1"/>
    </sheetView>
  </sheetViews>
  <sheetFormatPr defaultColWidth="8.796875" defaultRowHeight="15.6"/>
  <cols>
    <col min="1" max="1" width="2.69921875" bestFit="1" customWidth="1"/>
    <col min="2" max="2" width="35.19921875" customWidth="1"/>
    <col min="3" max="3" width="7" bestFit="1" customWidth="1"/>
    <col min="4" max="4" width="6.796875" bestFit="1" customWidth="1"/>
    <col min="5" max="5" width="7.296875" bestFit="1" customWidth="1"/>
    <col min="6" max="6" width="5" bestFit="1" customWidth="1"/>
    <col min="7" max="7" width="4.296875" bestFit="1" customWidth="1"/>
    <col min="8" max="8" width="6.19921875" bestFit="1" customWidth="1"/>
    <col min="9" max="10" width="4.69921875" bestFit="1" customWidth="1"/>
    <col min="11" max="11" width="6.19921875" bestFit="1" customWidth="1"/>
    <col min="12" max="12" width="31.796875" bestFit="1" customWidth="1"/>
    <col min="20" max="21" width="11.796875" customWidth="1"/>
  </cols>
  <sheetData>
    <row r="1" spans="1:26" ht="16.2" thickBot="1">
      <c r="A1" s="341" t="s">
        <v>14</v>
      </c>
      <c r="B1" s="341"/>
      <c r="C1" s="341" t="s">
        <v>15</v>
      </c>
      <c r="D1" s="341"/>
      <c r="E1" s="341"/>
      <c r="F1" s="341"/>
      <c r="G1" s="341" t="s">
        <v>16</v>
      </c>
      <c r="H1" s="341"/>
      <c r="I1" s="341"/>
      <c r="J1" s="341" t="s">
        <v>17</v>
      </c>
      <c r="K1" s="341"/>
      <c r="L1" s="341"/>
    </row>
    <row r="2" spans="1:26" ht="16.2" thickBot="1">
      <c r="A2" s="2" t="s">
        <v>18</v>
      </c>
      <c r="B2" s="2" t="s">
        <v>19</v>
      </c>
      <c r="C2" s="3" t="s">
        <v>20</v>
      </c>
      <c r="D2" s="4" t="s">
        <v>21</v>
      </c>
      <c r="E2" s="4" t="s">
        <v>22</v>
      </c>
      <c r="F2" s="4" t="s">
        <v>23</v>
      </c>
      <c r="G2" s="3" t="s">
        <v>20</v>
      </c>
      <c r="H2" s="4" t="s">
        <v>22</v>
      </c>
      <c r="I2" s="4" t="s">
        <v>23</v>
      </c>
      <c r="J2" s="3" t="s">
        <v>20</v>
      </c>
      <c r="K2" s="4" t="s">
        <v>22</v>
      </c>
      <c r="L2" s="4" t="s">
        <v>23</v>
      </c>
      <c r="R2" s="333"/>
      <c r="S2" s="333"/>
      <c r="T2" s="333"/>
      <c r="U2" s="333"/>
      <c r="V2" s="333"/>
      <c r="W2" s="333"/>
      <c r="X2" s="34"/>
      <c r="Z2" s="34"/>
    </row>
    <row r="3" spans="1:26">
      <c r="A3" s="5">
        <v>1</v>
      </c>
      <c r="B3" s="6" t="s">
        <v>24</v>
      </c>
      <c r="C3" s="7">
        <v>41</v>
      </c>
      <c r="D3" s="9">
        <v>894659</v>
      </c>
      <c r="E3" s="10">
        <v>21820</v>
      </c>
      <c r="F3" s="7">
        <v>104.3</v>
      </c>
      <c r="G3" s="7">
        <v>41</v>
      </c>
      <c r="H3" s="9">
        <v>18156</v>
      </c>
      <c r="I3" s="7">
        <v>94.5</v>
      </c>
      <c r="J3" s="7">
        <v>82</v>
      </c>
      <c r="K3" s="9">
        <v>19988</v>
      </c>
      <c r="L3" s="7">
        <v>99.6</v>
      </c>
    </row>
    <row r="4" spans="1:26">
      <c r="C4" s="35"/>
      <c r="D4" s="35"/>
      <c r="E4" s="35"/>
      <c r="F4" s="35"/>
      <c r="G4" s="35"/>
      <c r="H4" s="35"/>
      <c r="I4" s="35"/>
      <c r="J4" s="35"/>
      <c r="K4" s="35"/>
      <c r="L4" s="35"/>
      <c r="M4" s="35"/>
      <c r="N4" s="35"/>
      <c r="O4" s="35"/>
      <c r="P4" s="35"/>
      <c r="Q4" s="35"/>
      <c r="R4" s="35"/>
      <c r="S4" s="35"/>
      <c r="T4" s="35"/>
      <c r="U4" s="35"/>
      <c r="V4" s="35"/>
      <c r="W4" s="35"/>
    </row>
    <row r="5" spans="1:26" ht="16.2" thickBot="1">
      <c r="A5" s="341" t="s">
        <v>25</v>
      </c>
      <c r="B5" s="341"/>
      <c r="C5" s="343" t="s">
        <v>15</v>
      </c>
      <c r="D5" s="343"/>
      <c r="E5" s="344"/>
      <c r="F5" s="344"/>
      <c r="G5" s="344" t="s">
        <v>16</v>
      </c>
      <c r="H5" s="344"/>
      <c r="I5" s="344"/>
      <c r="J5" s="344" t="s">
        <v>17</v>
      </c>
      <c r="K5" s="344"/>
      <c r="L5" s="344"/>
      <c r="M5" s="8"/>
      <c r="N5" s="8"/>
      <c r="O5" s="8"/>
      <c r="P5" s="8"/>
      <c r="Q5" s="8"/>
      <c r="R5" s="8"/>
      <c r="S5" s="8"/>
      <c r="T5" s="8"/>
      <c r="U5" s="8"/>
      <c r="V5" s="8"/>
      <c r="W5" s="8"/>
    </row>
    <row r="6" spans="1:26" ht="16.2" thickBot="1">
      <c r="A6" s="2" t="s">
        <v>18</v>
      </c>
      <c r="B6" s="2" t="s">
        <v>19</v>
      </c>
      <c r="C6" s="194" t="s">
        <v>20</v>
      </c>
      <c r="D6" s="193" t="s">
        <v>21</v>
      </c>
      <c r="E6" s="193" t="s">
        <v>22</v>
      </c>
      <c r="F6" s="193" t="s">
        <v>23</v>
      </c>
      <c r="G6" s="194" t="s">
        <v>20</v>
      </c>
      <c r="H6" s="193" t="s">
        <v>22</v>
      </c>
      <c r="I6" s="193" t="s">
        <v>23</v>
      </c>
      <c r="J6" s="194" t="s">
        <v>20</v>
      </c>
      <c r="K6" s="193" t="s">
        <v>22</v>
      </c>
      <c r="L6" s="193" t="s">
        <v>23</v>
      </c>
      <c r="M6" s="192"/>
      <c r="N6" s="192"/>
      <c r="O6" s="192"/>
      <c r="P6" s="192"/>
      <c r="Q6" s="192"/>
      <c r="R6" s="192"/>
      <c r="S6" s="192"/>
      <c r="T6" s="192"/>
      <c r="U6" s="192"/>
      <c r="V6" s="192"/>
      <c r="W6" s="192"/>
    </row>
    <row r="7" spans="1:26">
      <c r="A7" s="5">
        <v>1</v>
      </c>
      <c r="B7" s="6" t="s">
        <v>24</v>
      </c>
      <c r="C7" s="196">
        <v>41</v>
      </c>
      <c r="D7" s="196">
        <v>875091</v>
      </c>
      <c r="E7" s="195">
        <v>21343</v>
      </c>
      <c r="F7" s="196">
        <v>102</v>
      </c>
      <c r="G7" s="196">
        <v>41</v>
      </c>
      <c r="H7" s="196">
        <v>18404</v>
      </c>
      <c r="I7" s="196">
        <v>95.7</v>
      </c>
      <c r="J7" s="196">
        <v>82</v>
      </c>
      <c r="K7" s="196">
        <v>19874</v>
      </c>
      <c r="L7" s="196">
        <v>99</v>
      </c>
      <c r="M7" s="192"/>
      <c r="N7" s="192"/>
      <c r="O7" s="192"/>
      <c r="P7" s="192"/>
      <c r="Q7" s="192"/>
      <c r="R7" s="192"/>
      <c r="S7" s="192"/>
      <c r="T7" s="192"/>
      <c r="U7" s="192"/>
      <c r="V7" s="192"/>
      <c r="W7" s="192"/>
    </row>
    <row r="8" spans="1:26">
      <c r="E8" s="192"/>
      <c r="F8" s="192"/>
      <c r="G8" s="192"/>
      <c r="H8" s="192"/>
      <c r="I8" s="192"/>
      <c r="J8" s="192"/>
      <c r="K8" s="192"/>
      <c r="L8" s="192"/>
      <c r="M8" s="192"/>
      <c r="N8" s="192"/>
      <c r="O8" s="192"/>
      <c r="P8" s="192"/>
      <c r="Q8" s="192"/>
      <c r="R8" s="192"/>
      <c r="S8" s="192"/>
      <c r="T8" s="192"/>
      <c r="U8" s="192"/>
      <c r="V8" s="192"/>
      <c r="W8" s="192"/>
    </row>
    <row r="9" spans="1:26" ht="16.2" thickBot="1">
      <c r="A9" s="341" t="s">
        <v>26</v>
      </c>
      <c r="B9" s="341"/>
      <c r="C9" s="341" t="s">
        <v>15</v>
      </c>
      <c r="D9" s="341"/>
      <c r="E9" s="341"/>
      <c r="F9" s="341"/>
      <c r="G9" s="341" t="s">
        <v>16</v>
      </c>
      <c r="H9" s="341"/>
      <c r="I9" s="341"/>
      <c r="J9" s="341" t="s">
        <v>17</v>
      </c>
      <c r="K9" s="341"/>
      <c r="L9" s="341"/>
    </row>
    <row r="10" spans="1:26" ht="16.2" thickBot="1">
      <c r="A10" s="2" t="s">
        <v>18</v>
      </c>
      <c r="B10" s="2" t="s">
        <v>19</v>
      </c>
      <c r="C10" s="3" t="s">
        <v>20</v>
      </c>
      <c r="D10" s="4" t="s">
        <v>21</v>
      </c>
      <c r="E10" s="4" t="s">
        <v>22</v>
      </c>
      <c r="F10" s="4" t="s">
        <v>23</v>
      </c>
      <c r="G10" s="3" t="s">
        <v>20</v>
      </c>
      <c r="H10" s="4" t="s">
        <v>22</v>
      </c>
      <c r="I10" s="4" t="s">
        <v>23</v>
      </c>
      <c r="J10" s="3" t="s">
        <v>20</v>
      </c>
      <c r="K10" s="4" t="s">
        <v>22</v>
      </c>
      <c r="L10" s="4" t="s">
        <v>23</v>
      </c>
    </row>
    <row r="11" spans="1:26">
      <c r="A11" s="5">
        <v>1</v>
      </c>
      <c r="B11" s="6" t="s">
        <v>24</v>
      </c>
      <c r="C11" s="7">
        <v>41</v>
      </c>
      <c r="D11" s="9">
        <v>890370</v>
      </c>
      <c r="E11" s="10">
        <v>21716</v>
      </c>
      <c r="F11" s="7">
        <v>103.8</v>
      </c>
      <c r="G11" s="7">
        <v>41</v>
      </c>
      <c r="H11" s="9">
        <v>17551</v>
      </c>
      <c r="I11" s="7">
        <v>91.1</v>
      </c>
      <c r="J11" s="7">
        <v>82</v>
      </c>
      <c r="K11" s="9">
        <v>19634</v>
      </c>
      <c r="L11" s="7">
        <v>97.7</v>
      </c>
    </row>
    <row r="12" spans="1:26">
      <c r="C12" s="201"/>
    </row>
    <row r="13" spans="1:26" ht="16.2" thickBot="1">
      <c r="A13" s="341" t="s">
        <v>27</v>
      </c>
      <c r="B13" s="341"/>
      <c r="C13" s="341" t="s">
        <v>15</v>
      </c>
      <c r="D13" s="341"/>
      <c r="E13" s="341"/>
      <c r="F13" s="341"/>
      <c r="G13" s="341" t="s">
        <v>16</v>
      </c>
      <c r="H13" s="341"/>
      <c r="I13" s="341"/>
      <c r="J13" s="341" t="s">
        <v>17</v>
      </c>
      <c r="K13" s="341"/>
      <c r="L13" s="341"/>
    </row>
    <row r="14" spans="1:26" ht="16.2" thickBot="1">
      <c r="A14" s="2" t="s">
        <v>18</v>
      </c>
      <c r="B14" s="2" t="s">
        <v>19</v>
      </c>
      <c r="C14" s="3" t="s">
        <v>20</v>
      </c>
      <c r="D14" s="4" t="s">
        <v>21</v>
      </c>
      <c r="E14" s="4" t="s">
        <v>22</v>
      </c>
      <c r="F14" s="4" t="s">
        <v>23</v>
      </c>
      <c r="G14" s="3" t="s">
        <v>20</v>
      </c>
      <c r="H14" s="4" t="s">
        <v>22</v>
      </c>
      <c r="I14" s="4" t="s">
        <v>23</v>
      </c>
      <c r="J14" s="3" t="s">
        <v>20</v>
      </c>
      <c r="K14" s="4" t="s">
        <v>22</v>
      </c>
      <c r="L14" s="4" t="s">
        <v>23</v>
      </c>
    </row>
    <row r="15" spans="1:26">
      <c r="A15" s="5">
        <v>1</v>
      </c>
      <c r="B15" s="6" t="s">
        <v>24</v>
      </c>
      <c r="C15" s="7">
        <v>41</v>
      </c>
      <c r="D15" s="9">
        <v>896944</v>
      </c>
      <c r="E15" s="10">
        <v>21876</v>
      </c>
      <c r="F15" s="7">
        <v>104.6</v>
      </c>
      <c r="G15" s="7">
        <v>41</v>
      </c>
      <c r="H15" s="9">
        <v>18144</v>
      </c>
      <c r="I15" s="7">
        <v>94.4</v>
      </c>
      <c r="J15" s="7">
        <v>82</v>
      </c>
      <c r="K15" s="9">
        <v>20010</v>
      </c>
      <c r="L15" s="7">
        <v>99.7</v>
      </c>
    </row>
    <row r="17" spans="1:12" ht="16.2" thickBot="1">
      <c r="A17" s="341" t="s">
        <v>28</v>
      </c>
      <c r="B17" s="341"/>
      <c r="C17" s="342" t="s">
        <v>15</v>
      </c>
      <c r="D17" s="341"/>
      <c r="E17" s="341"/>
      <c r="F17" s="341"/>
      <c r="G17" s="341" t="s">
        <v>16</v>
      </c>
      <c r="H17" s="341"/>
      <c r="I17" s="341"/>
      <c r="J17" s="341" t="s">
        <v>17</v>
      </c>
      <c r="K17" s="341"/>
      <c r="L17" s="341"/>
    </row>
    <row r="18" spans="1:12" ht="16.2" thickBot="1">
      <c r="A18" s="2" t="s">
        <v>18</v>
      </c>
      <c r="B18" s="2" t="s">
        <v>19</v>
      </c>
      <c r="C18" s="194" t="s">
        <v>20</v>
      </c>
      <c r="D18" s="4" t="s">
        <v>21</v>
      </c>
      <c r="E18" s="4" t="s">
        <v>22</v>
      </c>
      <c r="F18" s="4" t="s">
        <v>23</v>
      </c>
      <c r="G18" s="3" t="s">
        <v>20</v>
      </c>
      <c r="H18" s="4" t="s">
        <v>22</v>
      </c>
      <c r="I18" s="4" t="s">
        <v>23</v>
      </c>
      <c r="J18" s="3" t="s">
        <v>20</v>
      </c>
      <c r="K18" s="4" t="s">
        <v>22</v>
      </c>
      <c r="L18" s="4" t="s">
        <v>23</v>
      </c>
    </row>
    <row r="19" spans="1:12">
      <c r="A19" s="5">
        <v>1</v>
      </c>
      <c r="B19" s="6" t="s">
        <v>24</v>
      </c>
      <c r="C19" s="196">
        <v>33</v>
      </c>
      <c r="D19" s="9">
        <v>731326</v>
      </c>
      <c r="E19" s="10">
        <v>22161</v>
      </c>
      <c r="F19" s="7">
        <v>105.9</v>
      </c>
      <c r="G19" s="7">
        <v>33</v>
      </c>
      <c r="H19" s="9">
        <v>17989</v>
      </c>
      <c r="I19" s="7">
        <v>93.5</v>
      </c>
      <c r="J19" s="7">
        <v>66</v>
      </c>
      <c r="K19" s="9">
        <v>20075</v>
      </c>
      <c r="L19" s="7">
        <v>100</v>
      </c>
    </row>
    <row r="20" spans="1:12">
      <c r="C20" s="192"/>
    </row>
    <row r="21" spans="1:12" ht="16.2" thickBot="1">
      <c r="A21" s="341" t="s">
        <v>29</v>
      </c>
      <c r="B21" s="341"/>
      <c r="C21" s="342" t="s">
        <v>15</v>
      </c>
      <c r="D21" s="341"/>
      <c r="E21" s="341"/>
      <c r="F21" s="341"/>
      <c r="G21" s="341" t="s">
        <v>16</v>
      </c>
      <c r="H21" s="341"/>
      <c r="I21" s="341"/>
      <c r="J21" s="341" t="s">
        <v>17</v>
      </c>
      <c r="K21" s="341"/>
      <c r="L21" s="341"/>
    </row>
    <row r="22" spans="1:12" ht="16.2" thickBot="1">
      <c r="A22" s="2" t="s">
        <v>18</v>
      </c>
      <c r="B22" s="2" t="s">
        <v>19</v>
      </c>
      <c r="C22" s="3" t="s">
        <v>20</v>
      </c>
      <c r="D22" s="4" t="s">
        <v>21</v>
      </c>
      <c r="E22" s="4" t="s">
        <v>22</v>
      </c>
      <c r="F22" s="4" t="s">
        <v>23</v>
      </c>
      <c r="G22" s="3" t="s">
        <v>20</v>
      </c>
      <c r="H22" s="4" t="s">
        <v>22</v>
      </c>
      <c r="I22" s="4" t="s">
        <v>23</v>
      </c>
      <c r="J22" s="3" t="s">
        <v>20</v>
      </c>
      <c r="K22" s="4" t="s">
        <v>22</v>
      </c>
      <c r="L22" s="4" t="s">
        <v>23</v>
      </c>
    </row>
    <row r="23" spans="1:12">
      <c r="A23" s="5">
        <v>1</v>
      </c>
      <c r="B23" s="6" t="s">
        <v>24</v>
      </c>
      <c r="C23" s="7">
        <v>41</v>
      </c>
      <c r="D23" s="9">
        <v>893462</v>
      </c>
      <c r="E23" s="10">
        <v>21791</v>
      </c>
      <c r="F23" s="7">
        <v>104.2</v>
      </c>
      <c r="G23" s="7">
        <v>41</v>
      </c>
      <c r="H23" s="9">
        <v>18431</v>
      </c>
      <c r="I23" s="7">
        <v>96.1</v>
      </c>
      <c r="J23" s="7">
        <v>82</v>
      </c>
      <c r="K23" s="9">
        <v>20111</v>
      </c>
      <c r="L23" s="7">
        <v>100.3</v>
      </c>
    </row>
    <row r="25" spans="1:12" ht="16.2" thickBot="1">
      <c r="A25" s="341" t="s">
        <v>30</v>
      </c>
      <c r="B25" s="341"/>
      <c r="C25" s="341" t="s">
        <v>15</v>
      </c>
      <c r="D25" s="341"/>
      <c r="E25" s="341"/>
      <c r="F25" s="341"/>
      <c r="G25" s="341" t="s">
        <v>16</v>
      </c>
      <c r="H25" s="341"/>
      <c r="I25" s="341"/>
      <c r="J25" s="341" t="s">
        <v>17</v>
      </c>
      <c r="K25" s="341"/>
      <c r="L25" s="341"/>
    </row>
    <row r="26" spans="1:12" ht="16.2" thickBot="1">
      <c r="A26" s="2" t="s">
        <v>18</v>
      </c>
      <c r="B26" s="2" t="s">
        <v>19</v>
      </c>
      <c r="C26" s="3" t="s">
        <v>20</v>
      </c>
      <c r="D26" s="4" t="s">
        <v>21</v>
      </c>
      <c r="E26" s="4" t="s">
        <v>22</v>
      </c>
      <c r="F26" s="4" t="s">
        <v>23</v>
      </c>
      <c r="G26" s="3" t="s">
        <v>20</v>
      </c>
      <c r="H26" s="4" t="s">
        <v>22</v>
      </c>
      <c r="I26" s="4" t="s">
        <v>23</v>
      </c>
      <c r="J26" s="3" t="s">
        <v>20</v>
      </c>
      <c r="K26" s="4" t="s">
        <v>22</v>
      </c>
      <c r="L26" s="4" t="s">
        <v>23</v>
      </c>
    </row>
    <row r="27" spans="1:12">
      <c r="A27" s="5">
        <v>1</v>
      </c>
      <c r="B27" s="6" t="s">
        <v>24</v>
      </c>
      <c r="C27" s="7">
        <v>41</v>
      </c>
      <c r="D27" s="9">
        <v>849760</v>
      </c>
      <c r="E27" s="10">
        <v>20725</v>
      </c>
      <c r="F27" s="7">
        <v>99.1</v>
      </c>
      <c r="G27" s="7">
        <v>41</v>
      </c>
      <c r="H27" s="9">
        <v>17735</v>
      </c>
      <c r="I27" s="7">
        <v>92.2</v>
      </c>
      <c r="J27" s="7">
        <v>82</v>
      </c>
      <c r="K27" s="9">
        <v>19230</v>
      </c>
      <c r="L27" s="7">
        <v>95.8</v>
      </c>
    </row>
    <row r="29" spans="1:12" ht="16.2" thickBot="1">
      <c r="A29" s="341" t="s">
        <v>31</v>
      </c>
      <c r="B29" s="341"/>
      <c r="C29" s="341" t="s">
        <v>15</v>
      </c>
      <c r="D29" s="341"/>
      <c r="E29" s="341"/>
      <c r="F29" s="341"/>
      <c r="G29" s="341" t="s">
        <v>16</v>
      </c>
      <c r="H29" s="341"/>
      <c r="I29" s="341"/>
      <c r="J29" s="341" t="s">
        <v>17</v>
      </c>
      <c r="K29" s="341"/>
      <c r="L29" s="341"/>
    </row>
    <row r="30" spans="1:12" ht="16.2" thickBot="1">
      <c r="A30" s="2" t="s">
        <v>18</v>
      </c>
      <c r="B30" s="2" t="s">
        <v>19</v>
      </c>
      <c r="C30" s="3" t="s">
        <v>20</v>
      </c>
      <c r="D30" s="4" t="s">
        <v>21</v>
      </c>
      <c r="E30" s="4" t="s">
        <v>22</v>
      </c>
      <c r="F30" s="4" t="s">
        <v>23</v>
      </c>
      <c r="G30" s="3" t="s">
        <v>20</v>
      </c>
      <c r="H30" s="4" t="s">
        <v>22</v>
      </c>
      <c r="I30" s="4" t="s">
        <v>23</v>
      </c>
      <c r="J30" s="3" t="s">
        <v>20</v>
      </c>
      <c r="K30" s="4" t="s">
        <v>22</v>
      </c>
      <c r="L30" s="4" t="s">
        <v>23</v>
      </c>
    </row>
    <row r="31" spans="1:12">
      <c r="A31" s="11">
        <v>2</v>
      </c>
      <c r="B31" s="12" t="s">
        <v>24</v>
      </c>
      <c r="C31" s="13">
        <v>40</v>
      </c>
      <c r="D31" s="14">
        <v>847903</v>
      </c>
      <c r="E31" s="15">
        <v>21197</v>
      </c>
      <c r="F31" s="13">
        <v>97.6</v>
      </c>
      <c r="G31" s="13">
        <v>41</v>
      </c>
      <c r="H31" s="14">
        <v>17558</v>
      </c>
      <c r="I31" s="13">
        <v>93.6</v>
      </c>
      <c r="J31" s="13">
        <v>81</v>
      </c>
      <c r="K31" s="14">
        <v>19355</v>
      </c>
      <c r="L31" s="13">
        <v>95.7</v>
      </c>
    </row>
    <row r="33" spans="1:12" ht="16.2" thickBot="1">
      <c r="A33" s="341" t="s">
        <v>32</v>
      </c>
      <c r="B33" s="341"/>
      <c r="C33" s="341" t="s">
        <v>15</v>
      </c>
      <c r="D33" s="341"/>
      <c r="E33" s="341"/>
      <c r="F33" s="341"/>
      <c r="G33" s="341" t="s">
        <v>16</v>
      </c>
      <c r="H33" s="341"/>
      <c r="I33" s="341"/>
      <c r="J33" s="341" t="s">
        <v>17</v>
      </c>
      <c r="K33" s="341"/>
      <c r="L33" s="341"/>
    </row>
    <row r="34" spans="1:12" ht="16.2" thickBot="1">
      <c r="A34" s="2" t="s">
        <v>18</v>
      </c>
      <c r="B34" s="2" t="s">
        <v>19</v>
      </c>
      <c r="C34" s="3" t="s">
        <v>20</v>
      </c>
      <c r="D34" s="4" t="s">
        <v>21</v>
      </c>
      <c r="E34" s="4" t="s">
        <v>22</v>
      </c>
      <c r="F34" s="4" t="s">
        <v>23</v>
      </c>
      <c r="G34" s="3" t="s">
        <v>20</v>
      </c>
      <c r="H34" s="4" t="s">
        <v>22</v>
      </c>
      <c r="I34" s="4" t="s">
        <v>23</v>
      </c>
      <c r="J34" s="3" t="s">
        <v>20</v>
      </c>
      <c r="K34" s="4" t="s">
        <v>22</v>
      </c>
      <c r="L34" s="4" t="s">
        <v>23</v>
      </c>
    </row>
    <row r="35" spans="1:12">
      <c r="A35" s="11">
        <v>2</v>
      </c>
      <c r="B35" s="12" t="s">
        <v>24</v>
      </c>
      <c r="C35" s="13">
        <v>41</v>
      </c>
      <c r="D35" s="14">
        <v>901502</v>
      </c>
      <c r="E35" s="15">
        <v>21987</v>
      </c>
      <c r="F35" s="13">
        <v>101.3</v>
      </c>
      <c r="G35" s="13">
        <v>41</v>
      </c>
      <c r="H35" s="14">
        <v>17353</v>
      </c>
      <c r="I35" s="13">
        <v>106</v>
      </c>
      <c r="J35" s="13">
        <v>82</v>
      </c>
      <c r="K35" s="14">
        <v>19670</v>
      </c>
      <c r="L35" s="13">
        <v>103.3</v>
      </c>
    </row>
    <row r="36" spans="1:12">
      <c r="A36" s="11"/>
      <c r="B36" s="12"/>
      <c r="C36" s="13"/>
      <c r="D36" s="14"/>
      <c r="E36" s="15"/>
      <c r="F36" s="13"/>
      <c r="G36" s="13"/>
      <c r="H36" s="14"/>
      <c r="I36" s="13"/>
      <c r="J36" s="13"/>
      <c r="K36" s="14"/>
      <c r="L36" s="13"/>
    </row>
    <row r="37" spans="1:12" ht="16.2" thickBot="1">
      <c r="A37" s="341" t="s">
        <v>33</v>
      </c>
      <c r="B37" s="341"/>
      <c r="C37" s="341" t="s">
        <v>15</v>
      </c>
      <c r="D37" s="341"/>
      <c r="E37" s="341"/>
      <c r="F37" s="341"/>
      <c r="G37" s="341" t="s">
        <v>16</v>
      </c>
      <c r="H37" s="341"/>
      <c r="I37" s="341"/>
      <c r="J37" s="341" t="s">
        <v>17</v>
      </c>
      <c r="K37" s="341"/>
      <c r="L37" s="341"/>
    </row>
    <row r="38" spans="1:12" ht="16.2" thickBot="1">
      <c r="A38" s="2" t="s">
        <v>18</v>
      </c>
      <c r="B38" s="2" t="s">
        <v>19</v>
      </c>
      <c r="C38" s="3" t="s">
        <v>20</v>
      </c>
      <c r="D38" s="4" t="s">
        <v>21</v>
      </c>
      <c r="E38" s="4" t="s">
        <v>22</v>
      </c>
      <c r="F38" s="4" t="s">
        <v>23</v>
      </c>
      <c r="G38" s="3" t="s">
        <v>20</v>
      </c>
      <c r="H38" s="4" t="s">
        <v>22</v>
      </c>
      <c r="I38" s="4" t="s">
        <v>23</v>
      </c>
      <c r="J38" s="3" t="s">
        <v>20</v>
      </c>
      <c r="K38" s="4" t="s">
        <v>22</v>
      </c>
      <c r="L38" s="4" t="s">
        <v>23</v>
      </c>
    </row>
    <row r="39" spans="1:12">
      <c r="A39" s="5">
        <v>1</v>
      </c>
      <c r="B39" s="6" t="s">
        <v>24</v>
      </c>
      <c r="C39" s="7">
        <v>41</v>
      </c>
      <c r="D39" s="9">
        <v>912364</v>
      </c>
      <c r="E39" s="10">
        <v>22252</v>
      </c>
      <c r="F39" s="7">
        <v>102.5</v>
      </c>
      <c r="G39" s="7">
        <v>41</v>
      </c>
      <c r="H39" s="9">
        <v>18153</v>
      </c>
      <c r="I39" s="7">
        <v>113.4</v>
      </c>
      <c r="J39" s="7">
        <v>82</v>
      </c>
      <c r="K39" s="9">
        <v>20202</v>
      </c>
      <c r="L39" s="7">
        <v>107.1</v>
      </c>
    </row>
    <row r="41" spans="1:12" ht="16.2" thickBot="1">
      <c r="A41" s="341" t="s">
        <v>34</v>
      </c>
      <c r="B41" s="341"/>
      <c r="C41" s="341" t="s">
        <v>15</v>
      </c>
      <c r="D41" s="341"/>
      <c r="E41" s="341"/>
      <c r="F41" s="341"/>
      <c r="G41" s="341" t="s">
        <v>16</v>
      </c>
      <c r="H41" s="341"/>
      <c r="I41" s="341"/>
      <c r="J41" s="341" t="s">
        <v>17</v>
      </c>
      <c r="K41" s="341"/>
      <c r="L41" s="341"/>
    </row>
    <row r="42" spans="1:12" ht="16.2" thickBot="1">
      <c r="A42" s="2" t="s">
        <v>18</v>
      </c>
      <c r="B42" s="2" t="s">
        <v>19</v>
      </c>
      <c r="C42" s="3" t="s">
        <v>20</v>
      </c>
      <c r="D42" s="4" t="s">
        <v>21</v>
      </c>
      <c r="E42" s="4" t="s">
        <v>22</v>
      </c>
      <c r="F42" s="4" t="s">
        <v>23</v>
      </c>
      <c r="G42" s="3" t="s">
        <v>20</v>
      </c>
      <c r="H42" s="4" t="s">
        <v>22</v>
      </c>
      <c r="I42" s="4" t="s">
        <v>23</v>
      </c>
      <c r="J42" s="3" t="s">
        <v>20</v>
      </c>
      <c r="K42" s="4" t="s">
        <v>22</v>
      </c>
      <c r="L42" s="4" t="s">
        <v>23</v>
      </c>
    </row>
    <row r="43" spans="1:12">
      <c r="A43" s="11">
        <v>2</v>
      </c>
      <c r="B43" s="12" t="s">
        <v>24</v>
      </c>
      <c r="C43" s="13">
        <v>41</v>
      </c>
      <c r="D43" s="14">
        <v>868720</v>
      </c>
      <c r="E43" s="15">
        <v>21188</v>
      </c>
      <c r="F43" s="13">
        <v>97.6</v>
      </c>
      <c r="G43" s="13">
        <v>41</v>
      </c>
      <c r="H43" s="14">
        <v>17397</v>
      </c>
      <c r="I43" s="13">
        <v>119.6</v>
      </c>
      <c r="J43" s="13">
        <v>82</v>
      </c>
      <c r="K43" s="14">
        <v>19292</v>
      </c>
      <c r="L43" s="13">
        <v>106.4</v>
      </c>
    </row>
    <row r="45" spans="1:12" ht="16.2" thickBot="1">
      <c r="A45" s="341" t="s">
        <v>35</v>
      </c>
      <c r="B45" s="341"/>
      <c r="C45" s="341" t="s">
        <v>15</v>
      </c>
      <c r="D45" s="341"/>
      <c r="E45" s="341"/>
      <c r="F45" s="341"/>
      <c r="G45" s="341" t="s">
        <v>16</v>
      </c>
      <c r="H45" s="341"/>
      <c r="I45" s="341"/>
      <c r="J45" s="341" t="s">
        <v>17</v>
      </c>
      <c r="K45" s="341"/>
      <c r="L45" s="341"/>
    </row>
    <row r="46" spans="1:12" ht="16.2" thickBot="1">
      <c r="A46" s="2" t="s">
        <v>18</v>
      </c>
      <c r="B46" s="2" t="s">
        <v>19</v>
      </c>
      <c r="C46" s="3" t="s">
        <v>20</v>
      </c>
      <c r="D46" s="4" t="s">
        <v>21</v>
      </c>
      <c r="E46" s="4" t="s">
        <v>22</v>
      </c>
      <c r="F46" s="4" t="s">
        <v>23</v>
      </c>
      <c r="G46" s="3" t="s">
        <v>20</v>
      </c>
      <c r="H46" s="4" t="s">
        <v>22</v>
      </c>
      <c r="I46" s="4" t="s">
        <v>23</v>
      </c>
      <c r="J46" s="3" t="s">
        <v>20</v>
      </c>
      <c r="K46" s="4" t="s">
        <v>22</v>
      </c>
      <c r="L46" s="4" t="s">
        <v>23</v>
      </c>
    </row>
    <row r="47" spans="1:12">
      <c r="A47" s="11">
        <v>2</v>
      </c>
      <c r="B47" s="12" t="s">
        <v>24</v>
      </c>
      <c r="C47" s="13">
        <v>41</v>
      </c>
      <c r="D47" s="14">
        <v>828384</v>
      </c>
      <c r="E47" s="15">
        <v>20204</v>
      </c>
      <c r="F47" s="13">
        <v>93.1</v>
      </c>
      <c r="G47" s="13">
        <v>41</v>
      </c>
      <c r="H47" s="14">
        <v>17334</v>
      </c>
      <c r="I47" s="13">
        <v>107.2</v>
      </c>
      <c r="J47" s="13">
        <v>82</v>
      </c>
      <c r="K47" s="14">
        <v>18769</v>
      </c>
      <c r="L47" s="13">
        <v>99.1</v>
      </c>
    </row>
    <row r="49" spans="1:12" ht="16.2" thickBot="1">
      <c r="A49" s="341" t="s">
        <v>36</v>
      </c>
      <c r="B49" s="341"/>
      <c r="C49" s="341" t="s">
        <v>15</v>
      </c>
      <c r="D49" s="341"/>
      <c r="E49" s="341"/>
      <c r="F49" s="341"/>
      <c r="G49" s="341" t="s">
        <v>16</v>
      </c>
      <c r="H49" s="341"/>
      <c r="I49" s="341"/>
      <c r="J49" s="341" t="s">
        <v>17</v>
      </c>
      <c r="K49" s="341"/>
      <c r="L49" s="341"/>
    </row>
    <row r="50" spans="1:12" ht="16.2" thickBot="1">
      <c r="A50" s="2" t="s">
        <v>18</v>
      </c>
      <c r="B50" s="2" t="s">
        <v>19</v>
      </c>
      <c r="C50" s="3" t="s">
        <v>20</v>
      </c>
      <c r="D50" s="4" t="s">
        <v>21</v>
      </c>
      <c r="E50" s="4" t="s">
        <v>22</v>
      </c>
      <c r="F50" s="4" t="s">
        <v>23</v>
      </c>
      <c r="G50" s="3" t="s">
        <v>20</v>
      </c>
      <c r="H50" s="4" t="s">
        <v>22</v>
      </c>
      <c r="I50" s="4" t="s">
        <v>23</v>
      </c>
      <c r="J50" s="3" t="s">
        <v>20</v>
      </c>
      <c r="K50" s="4" t="s">
        <v>22</v>
      </c>
      <c r="L50" s="4" t="s">
        <v>23</v>
      </c>
    </row>
    <row r="51" spans="1:12">
      <c r="A51" s="5">
        <v>3</v>
      </c>
      <c r="B51" s="6" t="s">
        <v>24</v>
      </c>
      <c r="C51" s="7">
        <v>41</v>
      </c>
      <c r="D51" s="9">
        <v>809177</v>
      </c>
      <c r="E51" s="10">
        <v>19736</v>
      </c>
      <c r="F51" s="7">
        <v>90.9</v>
      </c>
      <c r="G51" s="7">
        <v>41</v>
      </c>
      <c r="H51" s="9">
        <v>16517</v>
      </c>
      <c r="I51" s="7">
        <v>106.9</v>
      </c>
      <c r="J51" s="7">
        <v>82</v>
      </c>
      <c r="K51" s="9">
        <v>18126</v>
      </c>
      <c r="L51" s="7">
        <v>97.6</v>
      </c>
    </row>
    <row r="53" spans="1:12" ht="16.2" thickBot="1">
      <c r="A53" s="341" t="s">
        <v>37</v>
      </c>
      <c r="B53" s="341"/>
      <c r="C53" s="341" t="s">
        <v>15</v>
      </c>
      <c r="D53" s="341"/>
      <c r="E53" s="341"/>
      <c r="F53" s="341"/>
      <c r="G53" s="341" t="s">
        <v>16</v>
      </c>
      <c r="H53" s="341"/>
      <c r="I53" s="341"/>
      <c r="J53" s="341" t="s">
        <v>17</v>
      </c>
      <c r="K53" s="341"/>
      <c r="L53" s="341"/>
    </row>
    <row r="54" spans="1:12" ht="16.2" thickBot="1">
      <c r="A54" s="2" t="s">
        <v>18</v>
      </c>
      <c r="B54" s="2" t="s">
        <v>19</v>
      </c>
      <c r="C54" s="3" t="s">
        <v>20</v>
      </c>
      <c r="D54" s="4" t="s">
        <v>21</v>
      </c>
      <c r="E54" s="4" t="s">
        <v>22</v>
      </c>
      <c r="F54" s="4" t="s">
        <v>23</v>
      </c>
      <c r="G54" s="3" t="s">
        <v>20</v>
      </c>
      <c r="H54" s="4" t="s">
        <v>22</v>
      </c>
      <c r="I54" s="4" t="s">
        <v>23</v>
      </c>
      <c r="J54" s="3" t="s">
        <v>20</v>
      </c>
      <c r="K54" s="4" t="s">
        <v>22</v>
      </c>
      <c r="L54" s="4" t="s">
        <v>23</v>
      </c>
    </row>
    <row r="55" spans="1:12">
      <c r="A55" s="5">
        <v>5</v>
      </c>
      <c r="B55" s="6" t="s">
        <v>24</v>
      </c>
      <c r="C55" s="7">
        <v>41</v>
      </c>
      <c r="D55" s="9">
        <v>804303</v>
      </c>
      <c r="E55" s="10">
        <v>19617</v>
      </c>
      <c r="F55" s="7">
        <v>90.4</v>
      </c>
      <c r="G55" s="7">
        <v>41</v>
      </c>
      <c r="H55" s="9">
        <v>16268</v>
      </c>
      <c r="I55" s="7">
        <v>108.6</v>
      </c>
      <c r="J55" s="7">
        <v>82</v>
      </c>
      <c r="K55" s="9">
        <v>17942</v>
      </c>
      <c r="L55" s="7">
        <v>97.8</v>
      </c>
    </row>
    <row r="57" spans="1:12" ht="16.2" thickBot="1">
      <c r="A57" s="341" t="s">
        <v>38</v>
      </c>
      <c r="B57" s="341"/>
      <c r="C57" s="341" t="s">
        <v>15</v>
      </c>
      <c r="D57" s="341"/>
      <c r="E57" s="341"/>
      <c r="F57" s="341"/>
      <c r="G57" s="341" t="s">
        <v>16</v>
      </c>
      <c r="H57" s="341"/>
      <c r="I57" s="341"/>
      <c r="J57" s="341" t="s">
        <v>17</v>
      </c>
      <c r="K57" s="341"/>
      <c r="L57" s="341"/>
    </row>
    <row r="58" spans="1:12" ht="16.2" thickBot="1">
      <c r="A58" s="2" t="s">
        <v>18</v>
      </c>
      <c r="B58" s="2" t="s">
        <v>19</v>
      </c>
      <c r="C58" s="3" t="s">
        <v>20</v>
      </c>
      <c r="D58" s="4" t="s">
        <v>21</v>
      </c>
      <c r="E58" s="4" t="s">
        <v>22</v>
      </c>
      <c r="F58" s="4" t="s">
        <v>23</v>
      </c>
      <c r="G58" s="3" t="s">
        <v>20</v>
      </c>
      <c r="H58" s="4" t="s">
        <v>22</v>
      </c>
      <c r="I58" s="4" t="s">
        <v>23</v>
      </c>
      <c r="J58" s="3" t="s">
        <v>20</v>
      </c>
      <c r="K58" s="4" t="s">
        <v>22</v>
      </c>
      <c r="L58" s="4" t="s">
        <v>23</v>
      </c>
    </row>
    <row r="59" spans="1:12">
      <c r="A59" s="5">
        <v>9</v>
      </c>
      <c r="B59" s="6" t="s">
        <v>24</v>
      </c>
      <c r="C59" s="7">
        <v>41</v>
      </c>
      <c r="D59" s="9">
        <v>776311</v>
      </c>
      <c r="E59" s="10">
        <v>18934</v>
      </c>
      <c r="F59" s="7">
        <v>87.2</v>
      </c>
      <c r="G59" s="7">
        <v>41</v>
      </c>
      <c r="H59" s="9">
        <v>16000</v>
      </c>
      <c r="I59" s="7">
        <v>107.9</v>
      </c>
      <c r="J59" s="7">
        <v>82</v>
      </c>
      <c r="K59" s="9">
        <v>17467</v>
      </c>
      <c r="L59" s="7">
        <v>95.6</v>
      </c>
    </row>
    <row r="61" spans="1:12">
      <c r="B61" s="181" t="s">
        <v>1094</v>
      </c>
    </row>
  </sheetData>
  <mergeCells count="63">
    <mergeCell ref="V2:W2"/>
    <mergeCell ref="T2:U2"/>
    <mergeCell ref="R2:S2"/>
    <mergeCell ref="A1:B1"/>
    <mergeCell ref="C1:F1"/>
    <mergeCell ref="G1:I1"/>
    <mergeCell ref="J1:L1"/>
    <mergeCell ref="A5:B5"/>
    <mergeCell ref="C5:F5"/>
    <mergeCell ref="G5:I5"/>
    <mergeCell ref="J5:L5"/>
    <mergeCell ref="A9:B9"/>
    <mergeCell ref="C9:F9"/>
    <mergeCell ref="G9:I9"/>
    <mergeCell ref="J9:L9"/>
    <mergeCell ref="A13:B13"/>
    <mergeCell ref="C13:F13"/>
    <mergeCell ref="G13:I13"/>
    <mergeCell ref="J13:L13"/>
    <mergeCell ref="A17:B17"/>
    <mergeCell ref="C17:F17"/>
    <mergeCell ref="G17:I17"/>
    <mergeCell ref="J17:L17"/>
    <mergeCell ref="A21:B21"/>
    <mergeCell ref="C21:F21"/>
    <mergeCell ref="G21:I21"/>
    <mergeCell ref="J21:L21"/>
    <mergeCell ref="A25:B25"/>
    <mergeCell ref="C25:F25"/>
    <mergeCell ref="G25:I25"/>
    <mergeCell ref="J25:L25"/>
    <mergeCell ref="A29:B29"/>
    <mergeCell ref="C29:F29"/>
    <mergeCell ref="G29:I29"/>
    <mergeCell ref="J29:L29"/>
    <mergeCell ref="A33:B33"/>
    <mergeCell ref="C33:F33"/>
    <mergeCell ref="G33:I33"/>
    <mergeCell ref="J33:L33"/>
    <mergeCell ref="A37:B37"/>
    <mergeCell ref="C37:F37"/>
    <mergeCell ref="G37:I37"/>
    <mergeCell ref="J37:L37"/>
    <mergeCell ref="A41:B41"/>
    <mergeCell ref="C41:F41"/>
    <mergeCell ref="G41:I41"/>
    <mergeCell ref="J41:L41"/>
    <mergeCell ref="A45:B45"/>
    <mergeCell ref="C45:F45"/>
    <mergeCell ref="G45:I45"/>
    <mergeCell ref="J45:L45"/>
    <mergeCell ref="A57:B57"/>
    <mergeCell ref="C57:F57"/>
    <mergeCell ref="G57:I57"/>
    <mergeCell ref="J57:L57"/>
    <mergeCell ref="A49:B49"/>
    <mergeCell ref="C49:F49"/>
    <mergeCell ref="G49:I49"/>
    <mergeCell ref="J49:L49"/>
    <mergeCell ref="A53:B53"/>
    <mergeCell ref="C53:F53"/>
    <mergeCell ref="G53:I53"/>
    <mergeCell ref="J53:L53"/>
  </mergeCells>
  <hyperlinks>
    <hyperlink ref="D2" r:id="rId1" display="http://espn.go.com/nba/attendance/_/sort/homeTotal"/>
    <hyperlink ref="E2" r:id="rId2" display="http://espn.go.com/nba/attendance/_/order/false"/>
    <hyperlink ref="F2" r:id="rId3" display="http://espn.go.com/nba/attendance/_/sort/homePct"/>
    <hyperlink ref="H2" r:id="rId4" display="http://espn.go.com/nba/attendance/_/sort/awayAvg"/>
    <hyperlink ref="I2" r:id="rId5" display="http://espn.go.com/nba/attendance/_/sort/awayPct"/>
    <hyperlink ref="K2" r:id="rId6" display="http://espn.go.com/nba/attendance/_/sort/allAvg"/>
    <hyperlink ref="L2" r:id="rId7" display="http://espn.go.com/nba/attendance/_/sort/allPct"/>
    <hyperlink ref="B3" r:id="rId8" display="http://espn.go.com/nba/team/_/name/chi/chicago-bulls"/>
    <hyperlink ref="D6" r:id="rId9" display="http://espn.go.com/nba/attendance/_/year/2015/sort/homeTotal"/>
    <hyperlink ref="E6" r:id="rId10" display="http://espn.go.com/nba/attendance/_/year/2015/order/false"/>
    <hyperlink ref="F6" r:id="rId11" display="http://espn.go.com/nba/attendance/_/year/2015/sort/homePct"/>
    <hyperlink ref="H6" r:id="rId12" display="http://espn.go.com/nba/attendance/_/year/2015/sort/awayAvg"/>
    <hyperlink ref="I6" r:id="rId13" display="http://espn.go.com/nba/attendance/_/year/2015/sort/awayPct"/>
    <hyperlink ref="K6" r:id="rId14" display="http://espn.go.com/nba/attendance/_/year/2015/sort/allAvg"/>
    <hyperlink ref="L6" r:id="rId15" display="http://espn.go.com/nba/attendance/_/year/2015/sort/allPct"/>
    <hyperlink ref="B7" r:id="rId16" display="http://espn.go.com/nba/team/_/name/chi/chicago-bulls"/>
    <hyperlink ref="D10" r:id="rId17" display="http://espn.go.com/nba/attendance/_/year/2014/sort/homeTotal"/>
    <hyperlink ref="E10" r:id="rId18" display="http://espn.go.com/nba/attendance/_/year/2014/order/false"/>
    <hyperlink ref="F10" r:id="rId19" display="http://espn.go.com/nba/attendance/_/year/2014/sort/homePct"/>
    <hyperlink ref="H10" r:id="rId20" display="http://espn.go.com/nba/attendance/_/year/2014/sort/awayAvg"/>
    <hyperlink ref="I10" r:id="rId21" display="http://espn.go.com/nba/attendance/_/year/2014/sort/awayPct"/>
    <hyperlink ref="K10" r:id="rId22" display="http://espn.go.com/nba/attendance/_/year/2014/sort/allAvg"/>
    <hyperlink ref="L10" r:id="rId23" display="http://espn.go.com/nba/attendance/_/year/2014/sort/allPct"/>
    <hyperlink ref="B11" r:id="rId24" display="http://espn.go.com/nba/team/_/name/chi/chicago-bulls"/>
    <hyperlink ref="D14" r:id="rId25" display="http://espn.go.com/nba/attendance/_/year/2013/sort/homeTotal"/>
    <hyperlink ref="E14" r:id="rId26" display="http://espn.go.com/nba/attendance/_/year/2013/order/false"/>
    <hyperlink ref="F14" r:id="rId27" display="http://espn.go.com/nba/attendance/_/year/2013/sort/homePct"/>
    <hyperlink ref="H14" r:id="rId28" display="http://espn.go.com/nba/attendance/_/year/2013/sort/awayAvg"/>
    <hyperlink ref="I14" r:id="rId29" display="http://espn.go.com/nba/attendance/_/year/2013/sort/awayPct"/>
    <hyperlink ref="K14" r:id="rId30" display="http://espn.go.com/nba/attendance/_/year/2013/sort/allAvg"/>
    <hyperlink ref="L14" r:id="rId31" display="http://espn.go.com/nba/attendance/_/year/2013/sort/allPct"/>
    <hyperlink ref="B15" r:id="rId32" display="http://espn.go.com/nba/team/_/name/chi/chicago-bulls"/>
    <hyperlink ref="D18" r:id="rId33" display="http://espn.go.com/nba/attendance/_/year/2012/sort/homeTotal"/>
    <hyperlink ref="E18" r:id="rId34" display="http://espn.go.com/nba/attendance/_/year/2012/order/false"/>
    <hyperlink ref="F18" r:id="rId35" display="http://espn.go.com/nba/attendance/_/year/2012/sort/homePct"/>
    <hyperlink ref="H18" r:id="rId36" display="http://espn.go.com/nba/attendance/_/year/2012/sort/awayAvg"/>
    <hyperlink ref="I18" r:id="rId37" display="http://espn.go.com/nba/attendance/_/year/2012/sort/awayPct"/>
    <hyperlink ref="K18" r:id="rId38" display="http://espn.go.com/nba/attendance/_/year/2012/sort/allAvg"/>
    <hyperlink ref="L18" r:id="rId39" display="http://espn.go.com/nba/attendance/_/year/2012/sort/allPct"/>
    <hyperlink ref="B19" r:id="rId40" display="http://espn.go.com/nba/team/_/name/chi/chicago-bulls"/>
    <hyperlink ref="D22" r:id="rId41" display="http://espn.go.com/nba/attendance/_/year/2011/sort/homeTotal"/>
    <hyperlink ref="E22" r:id="rId42" display="http://espn.go.com/nba/attendance/_/year/2011/order/false"/>
    <hyperlink ref="F22" r:id="rId43" display="http://espn.go.com/nba/attendance/_/year/2011/sort/homePct"/>
    <hyperlink ref="H22" r:id="rId44" display="http://espn.go.com/nba/attendance/_/year/2011/sort/awayAvg"/>
    <hyperlink ref="I22" r:id="rId45" display="http://espn.go.com/nba/attendance/_/year/2011/sort/awayPct"/>
    <hyperlink ref="K22" r:id="rId46" display="http://espn.go.com/nba/attendance/_/year/2011/sort/allAvg"/>
    <hyperlink ref="L22" r:id="rId47" display="http://espn.go.com/nba/attendance/_/year/2011/sort/allPct"/>
    <hyperlink ref="B23" r:id="rId48" display="http://espn.go.com/nba/team/_/name/chi/chicago-bulls"/>
    <hyperlink ref="D26" r:id="rId49" display="http://espn.go.com/nba/attendance/_/year/2010/sort/homeTotal"/>
    <hyperlink ref="E26" r:id="rId50" display="http://espn.go.com/nba/attendance/_/year/2010/order/false"/>
    <hyperlink ref="F26" r:id="rId51" display="http://espn.go.com/nba/attendance/_/year/2010/sort/homePct"/>
    <hyperlink ref="H26" r:id="rId52" display="http://espn.go.com/nba/attendance/_/year/2010/sort/awayAvg"/>
    <hyperlink ref="I26" r:id="rId53" display="http://espn.go.com/nba/attendance/_/year/2010/sort/awayPct"/>
    <hyperlink ref="K26" r:id="rId54" display="http://espn.go.com/nba/attendance/_/year/2010/sort/allAvg"/>
    <hyperlink ref="L26" r:id="rId55" display="http://espn.go.com/nba/attendance/_/year/2010/sort/allPct"/>
    <hyperlink ref="B27" r:id="rId56" display="http://espn.go.com/nba/team/_/name/chi/chicago-bulls"/>
    <hyperlink ref="D30" r:id="rId57" display="http://espn.go.com/nba/attendance/_/year/2009/sort/homeTotal"/>
    <hyperlink ref="E30" r:id="rId58" display="http://espn.go.com/nba/attendance/_/year/2009/order/false"/>
    <hyperlink ref="F30" r:id="rId59" display="http://espn.go.com/nba/attendance/_/year/2009/sort/homePct"/>
    <hyperlink ref="H30" r:id="rId60" display="http://espn.go.com/nba/attendance/_/year/2009/sort/awayAvg"/>
    <hyperlink ref="I30" r:id="rId61" display="http://espn.go.com/nba/attendance/_/year/2009/sort/awayPct"/>
    <hyperlink ref="K30" r:id="rId62" display="http://espn.go.com/nba/attendance/_/year/2009/sort/allAvg"/>
    <hyperlink ref="L30" r:id="rId63" display="http://espn.go.com/nba/attendance/_/year/2009/sort/allPct"/>
    <hyperlink ref="B31" r:id="rId64" display="http://espn.go.com/nba/team/_/name/chi/chicago-bulls"/>
    <hyperlink ref="D38" r:id="rId65" display="http://espn.go.com/nba/attendance/_/year/2007/sort/homeTotal"/>
    <hyperlink ref="E38" r:id="rId66" display="http://espn.go.com/nba/attendance/_/year/2007/order/false"/>
    <hyperlink ref="F38" r:id="rId67" display="http://espn.go.com/nba/attendance/_/year/2007/sort/homePct"/>
    <hyperlink ref="H38" r:id="rId68" display="http://espn.go.com/nba/attendance/_/year/2007/sort/awayAvg"/>
    <hyperlink ref="I38" r:id="rId69" display="http://espn.go.com/nba/attendance/_/year/2007/sort/awayPct"/>
    <hyperlink ref="K38" r:id="rId70" display="http://espn.go.com/nba/attendance/_/year/2007/sort/allAvg"/>
    <hyperlink ref="L38" r:id="rId71" display="http://espn.go.com/nba/attendance/_/year/2007/sort/allPct"/>
    <hyperlink ref="B39" r:id="rId72" display="http://espn.go.com/nba/team/_/name/chi/chicago-bulls"/>
    <hyperlink ref="D34" r:id="rId73" display="http://espn.go.com/nba/attendance/_/year/2008/sort/homeTotal"/>
    <hyperlink ref="E34" r:id="rId74" display="http://espn.go.com/nba/attendance/_/year/2008/order/false"/>
    <hyperlink ref="F34" r:id="rId75" display="http://espn.go.com/nba/attendance/_/year/2008/sort/homePct"/>
    <hyperlink ref="H34" r:id="rId76" display="http://espn.go.com/nba/attendance/_/year/2008/sort/awayAvg"/>
    <hyperlink ref="I34" r:id="rId77" display="http://espn.go.com/nba/attendance/_/year/2008/sort/awayPct"/>
    <hyperlink ref="K34" r:id="rId78" display="http://espn.go.com/nba/attendance/_/year/2008/sort/allAvg"/>
    <hyperlink ref="L34" r:id="rId79" display="http://espn.go.com/nba/attendance/_/year/2008/sort/allPct"/>
    <hyperlink ref="B35" r:id="rId80" display="http://espn.go.com/nba/team/_/name/chi/chicago-bulls"/>
    <hyperlink ref="D42" r:id="rId81" display="http://espn.go.com/nba/attendance/_/year/2006/sort/homeTotal"/>
    <hyperlink ref="E42" r:id="rId82" display="http://espn.go.com/nba/attendance/_/year/2006/order/false"/>
    <hyperlink ref="F42" r:id="rId83" display="http://espn.go.com/nba/attendance/_/year/2006/sort/homePct"/>
    <hyperlink ref="H42" r:id="rId84" display="http://espn.go.com/nba/attendance/_/year/2006/sort/awayAvg"/>
    <hyperlink ref="I42" r:id="rId85" display="http://espn.go.com/nba/attendance/_/year/2006/sort/awayPct"/>
    <hyperlink ref="K42" r:id="rId86" display="http://espn.go.com/nba/attendance/_/year/2006/sort/allAvg"/>
    <hyperlink ref="L42" r:id="rId87" display="http://espn.go.com/nba/attendance/_/year/2006/sort/allPct"/>
    <hyperlink ref="B43" r:id="rId88" display="http://espn.go.com/nba/team/_/name/chi/chicago-bulls"/>
    <hyperlink ref="D46" r:id="rId89" display="http://espn.go.com/nba/attendance/_/year/2005/sort/homeTotal"/>
    <hyperlink ref="E46" r:id="rId90" display="http://espn.go.com/nba/attendance/_/year/2005/order/false"/>
    <hyperlink ref="F46" r:id="rId91" display="http://espn.go.com/nba/attendance/_/year/2005/sort/homePct"/>
    <hyperlink ref="H46" r:id="rId92" display="http://espn.go.com/nba/attendance/_/year/2005/sort/awayAvg"/>
    <hyperlink ref="I46" r:id="rId93" display="http://espn.go.com/nba/attendance/_/year/2005/sort/awayPct"/>
    <hyperlink ref="K46" r:id="rId94" display="http://espn.go.com/nba/attendance/_/year/2005/sort/allAvg"/>
    <hyperlink ref="L46" r:id="rId95" display="http://espn.go.com/nba/attendance/_/year/2005/sort/allPct"/>
    <hyperlink ref="B47" r:id="rId96" display="http://espn.go.com/nba/team/_/name/chi/chicago-bulls"/>
    <hyperlink ref="D50" r:id="rId97" display="http://espn.go.com/nba/attendance/_/year/2004/sort/homeTotal"/>
    <hyperlink ref="E50" r:id="rId98" display="http://espn.go.com/nba/attendance/_/year/2004/order/false"/>
    <hyperlink ref="F50" r:id="rId99" display="http://espn.go.com/nba/attendance/_/year/2004/sort/homePct"/>
    <hyperlink ref="H50" r:id="rId100" display="http://espn.go.com/nba/attendance/_/year/2004/sort/awayAvg"/>
    <hyperlink ref="I50" r:id="rId101" display="http://espn.go.com/nba/attendance/_/year/2004/sort/awayPct"/>
    <hyperlink ref="K50" r:id="rId102" display="http://espn.go.com/nba/attendance/_/year/2004/sort/allAvg"/>
    <hyperlink ref="L50" r:id="rId103" display="http://espn.go.com/nba/attendance/_/year/2004/sort/allPct"/>
    <hyperlink ref="B51" r:id="rId104" display="http://espn.go.com/nba/team/_/name/chi/chicago-bulls"/>
    <hyperlink ref="D54" r:id="rId105" display="http://espn.go.com/nba/attendance/_/year/2003/sort/homeTotal"/>
    <hyperlink ref="E54" r:id="rId106" display="http://espn.go.com/nba/attendance/_/year/2003/order/false"/>
    <hyperlink ref="F54" r:id="rId107" display="http://espn.go.com/nba/attendance/_/year/2003/sort/homePct"/>
    <hyperlink ref="H54" r:id="rId108" display="http://espn.go.com/nba/attendance/_/year/2003/sort/awayAvg"/>
    <hyperlink ref="I54" r:id="rId109" display="http://espn.go.com/nba/attendance/_/year/2003/sort/awayPct"/>
    <hyperlink ref="K54" r:id="rId110" display="http://espn.go.com/nba/attendance/_/year/2003/sort/allAvg"/>
    <hyperlink ref="L54" r:id="rId111" display="http://espn.go.com/nba/attendance/_/year/2003/sort/allPct"/>
    <hyperlink ref="B55" r:id="rId112" display="http://espn.go.com/nba/team/_/name/chi/chicago-bulls"/>
    <hyperlink ref="D58" r:id="rId113" display="http://espn.go.com/nba/attendance/_/year/2002/sort/homeTotal"/>
    <hyperlink ref="E58" r:id="rId114" display="http://espn.go.com/nba/attendance/_/year/2002/order/false"/>
    <hyperlink ref="F58" r:id="rId115" display="http://espn.go.com/nba/attendance/_/year/2002/sort/homePct"/>
    <hyperlink ref="H58" r:id="rId116" display="http://espn.go.com/nba/attendance/_/year/2002/sort/awayAvg"/>
    <hyperlink ref="I58" r:id="rId117" display="http://espn.go.com/nba/attendance/_/year/2002/sort/awayPct"/>
    <hyperlink ref="K58" r:id="rId118" display="http://espn.go.com/nba/attendance/_/year/2002/sort/allAvg"/>
    <hyperlink ref="L58" r:id="rId119" display="http://espn.go.com/nba/attendance/_/year/2002/sort/allPct"/>
    <hyperlink ref="B59" r:id="rId120" display="http://espn.go.com/nba/team/_/name/chi/chicago-bulls"/>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DCF</vt:lpstr>
      <vt:lpstr>Income Statement</vt:lpstr>
      <vt:lpstr>Balance Sheet</vt:lpstr>
      <vt:lpstr>Cash Flow</vt:lpstr>
      <vt:lpstr>Goodwill</vt:lpstr>
      <vt:lpstr>Attendance Financials</vt:lpstr>
      <vt:lpstr>Fan Cost Index Data</vt:lpstr>
      <vt:lpstr>Attendance Forecast</vt:lpstr>
      <vt:lpstr>Attendance</vt:lpstr>
      <vt:lpstr>Playoff</vt:lpstr>
      <vt:lpstr>Sponsorships</vt:lpstr>
      <vt:lpstr>TV Deal</vt:lpstr>
      <vt:lpstr>Jersey Sales</vt:lpstr>
      <vt:lpstr>Contract</vt:lpstr>
      <vt:lpstr>Revenue Sharing Pool</vt:lpstr>
      <vt:lpstr>WACC</vt:lpstr>
      <vt:lpstr>Beta</vt:lpstr>
      <vt:lpstr>Market Return</vt:lpstr>
      <vt:lpstr>Return Compilation</vt:lpstr>
      <vt:lpstr>Value Compilation</vt:lpstr>
      <vt:lpstr>Comparables</vt:lpstr>
      <vt:lpstr>2016 Value</vt:lpstr>
      <vt:lpstr>2015 Value</vt:lpstr>
      <vt:lpstr>2014 Value</vt:lpstr>
      <vt:lpstr>2013 Value</vt:lpstr>
      <vt:lpstr>2012 Value</vt:lpstr>
      <vt:lpstr>2011 Value</vt:lpstr>
      <vt:lpstr>2010 Value</vt:lpstr>
      <vt:lpstr>2009 Value</vt:lpstr>
      <vt:lpstr>2008 Value</vt:lpstr>
      <vt:lpstr>2007 Value</vt:lpstr>
      <vt:lpstr>2006 Value</vt:lpstr>
      <vt:lpstr>2002 Value</vt:lpstr>
      <vt:lpstr>2001 Value</vt:lpstr>
      <vt:lpstr>2000 Value</vt:lpstr>
      <vt:lpstr>1999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Steirn</dc:creator>
  <cp:lastModifiedBy>Robert P Steirn</cp:lastModifiedBy>
  <dcterms:created xsi:type="dcterms:W3CDTF">2016-07-13T23:31:45Z</dcterms:created>
  <dcterms:modified xsi:type="dcterms:W3CDTF">2016-07-22T14:10:59Z</dcterms:modified>
</cp:coreProperties>
</file>